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КРУГ" sheetId="7" r:id="rId1"/>
  </sheets>
  <definedNames>
    <definedName name="_xlnm._FilterDatabase" localSheetId="0" hidden="1">КРУГ!$B$5:$K$1268</definedName>
  </definedNames>
  <calcPr calcId="125725" refMode="R1C1"/>
</workbook>
</file>

<file path=xl/calcChain.xml><?xml version="1.0" encoding="utf-8"?>
<calcChain xmlns="http://schemas.openxmlformats.org/spreadsheetml/2006/main">
  <c r="J7" i="7"/>
  <c r="I7" s="1"/>
  <c r="J8"/>
  <c r="I8" s="1"/>
  <c r="J9"/>
  <c r="I9" s="1"/>
  <c r="J10"/>
  <c r="J11"/>
  <c r="I11" s="1"/>
  <c r="J12"/>
  <c r="I12" s="1"/>
  <c r="J13"/>
  <c r="I13" s="1"/>
  <c r="J14"/>
  <c r="J15"/>
  <c r="I15" s="1"/>
  <c r="J16"/>
  <c r="I16" s="1"/>
  <c r="J17"/>
  <c r="J18"/>
  <c r="J19"/>
  <c r="I19" s="1"/>
  <c r="J20"/>
  <c r="I20" s="1"/>
  <c r="J21"/>
  <c r="I21" s="1"/>
  <c r="J22"/>
  <c r="J23"/>
  <c r="I23" s="1"/>
  <c r="J24"/>
  <c r="I24" s="1"/>
  <c r="J25"/>
  <c r="I25" s="1"/>
  <c r="J26"/>
  <c r="J27"/>
  <c r="I27" s="1"/>
  <c r="J28"/>
  <c r="I28" s="1"/>
  <c r="J29"/>
  <c r="I29" s="1"/>
  <c r="J30"/>
  <c r="J31"/>
  <c r="I31" s="1"/>
  <c r="J32"/>
  <c r="I32" s="1"/>
  <c r="J33"/>
  <c r="I33" s="1"/>
  <c r="J34"/>
  <c r="J35"/>
  <c r="J36"/>
  <c r="I36" s="1"/>
  <c r="J37"/>
  <c r="J38"/>
  <c r="J39"/>
  <c r="I39" s="1"/>
  <c r="J40"/>
  <c r="I40" s="1"/>
  <c r="J41"/>
  <c r="I41" s="1"/>
  <c r="J42"/>
  <c r="J43"/>
  <c r="I43" s="1"/>
  <c r="J44"/>
  <c r="I44" s="1"/>
  <c r="J45"/>
  <c r="I45" s="1"/>
  <c r="J46"/>
  <c r="J47"/>
  <c r="I47" s="1"/>
  <c r="J48"/>
  <c r="I48" s="1"/>
  <c r="J49"/>
  <c r="J50"/>
  <c r="J51"/>
  <c r="I51" s="1"/>
  <c r="J52"/>
  <c r="I52" s="1"/>
  <c r="J53"/>
  <c r="I53" s="1"/>
  <c r="J54"/>
  <c r="J55"/>
  <c r="I55" s="1"/>
  <c r="J56"/>
  <c r="I56" s="1"/>
  <c r="J57"/>
  <c r="I57" s="1"/>
  <c r="J58"/>
  <c r="J59"/>
  <c r="I59" s="1"/>
  <c r="J60"/>
  <c r="I60" s="1"/>
  <c r="J61"/>
  <c r="I61" s="1"/>
  <c r="J62"/>
  <c r="J63"/>
  <c r="I63" s="1"/>
  <c r="J64"/>
  <c r="I64" s="1"/>
  <c r="J65"/>
  <c r="I65" s="1"/>
  <c r="J66"/>
  <c r="J67"/>
  <c r="J68"/>
  <c r="I68" s="1"/>
  <c r="J69"/>
  <c r="I69" s="1"/>
  <c r="J70"/>
  <c r="J71"/>
  <c r="I71" s="1"/>
  <c r="J72"/>
  <c r="I72" s="1"/>
  <c r="J73"/>
  <c r="I73" s="1"/>
  <c r="J74"/>
  <c r="J75"/>
  <c r="I75" s="1"/>
  <c r="J76"/>
  <c r="I76" s="1"/>
  <c r="J77"/>
  <c r="I77" s="1"/>
  <c r="J78"/>
  <c r="J79"/>
  <c r="I79" s="1"/>
  <c r="J80"/>
  <c r="I80" s="1"/>
  <c r="J81"/>
  <c r="I81" s="1"/>
  <c r="J82"/>
  <c r="J83"/>
  <c r="I83" s="1"/>
  <c r="J84"/>
  <c r="I84" s="1"/>
  <c r="J85"/>
  <c r="J86"/>
  <c r="J87"/>
  <c r="I87" s="1"/>
  <c r="J88"/>
  <c r="I88" s="1"/>
  <c r="J89"/>
  <c r="I89" s="1"/>
  <c r="J90"/>
  <c r="J91"/>
  <c r="I91" s="1"/>
  <c r="J92"/>
  <c r="I92" s="1"/>
  <c r="J93"/>
  <c r="I93" s="1"/>
  <c r="J94"/>
  <c r="J95"/>
  <c r="I95" s="1"/>
  <c r="J96"/>
  <c r="I96" s="1"/>
  <c r="J97"/>
  <c r="J98"/>
  <c r="J99"/>
  <c r="J100"/>
  <c r="I100" s="1"/>
  <c r="J101"/>
  <c r="I101" s="1"/>
  <c r="J102"/>
  <c r="J103"/>
  <c r="I103" s="1"/>
  <c r="J104"/>
  <c r="I104" s="1"/>
  <c r="J105"/>
  <c r="I105" s="1"/>
  <c r="J106"/>
  <c r="J107"/>
  <c r="I107" s="1"/>
  <c r="J108"/>
  <c r="I108" s="1"/>
  <c r="J109"/>
  <c r="I109" s="1"/>
  <c r="J110"/>
  <c r="J111"/>
  <c r="I111" s="1"/>
  <c r="J112"/>
  <c r="I112" s="1"/>
  <c r="J113"/>
  <c r="I113" s="1"/>
  <c r="J114"/>
  <c r="J115"/>
  <c r="I115" s="1"/>
  <c r="J116"/>
  <c r="I116" s="1"/>
  <c r="J117"/>
  <c r="J118"/>
  <c r="J119"/>
  <c r="I119" s="1"/>
  <c r="J120"/>
  <c r="I120" s="1"/>
  <c r="J121"/>
  <c r="I121" s="1"/>
  <c r="J122"/>
  <c r="J123"/>
  <c r="I123" s="1"/>
  <c r="J124"/>
  <c r="I124" s="1"/>
  <c r="J125"/>
  <c r="I125" s="1"/>
  <c r="J126"/>
  <c r="J127"/>
  <c r="I127" s="1"/>
  <c r="J128"/>
  <c r="I128" s="1"/>
  <c r="J129"/>
  <c r="J130"/>
  <c r="J131"/>
  <c r="J132"/>
  <c r="I132" s="1"/>
  <c r="J133"/>
  <c r="J134"/>
  <c r="J135"/>
  <c r="I135" s="1"/>
  <c r="J136"/>
  <c r="I136" s="1"/>
  <c r="J137"/>
  <c r="I137" s="1"/>
  <c r="J138"/>
  <c r="J139"/>
  <c r="I139" s="1"/>
  <c r="J140"/>
  <c r="I140" s="1"/>
  <c r="J141"/>
  <c r="I141" s="1"/>
  <c r="J142"/>
  <c r="J143"/>
  <c r="I143" s="1"/>
  <c r="J144"/>
  <c r="I144" s="1"/>
  <c r="J145"/>
  <c r="J146"/>
  <c r="J147"/>
  <c r="I147" s="1"/>
  <c r="J148"/>
  <c r="I148" s="1"/>
  <c r="J149"/>
  <c r="I149" s="1"/>
  <c r="J150"/>
  <c r="J151"/>
  <c r="I151" s="1"/>
  <c r="J152"/>
  <c r="I152" s="1"/>
  <c r="J153"/>
  <c r="I153" s="1"/>
  <c r="J154"/>
  <c r="J155"/>
  <c r="I155" s="1"/>
  <c r="J156"/>
  <c r="I156" s="1"/>
  <c r="J157"/>
  <c r="I157" s="1"/>
  <c r="J158"/>
  <c r="J159"/>
  <c r="I159" s="1"/>
  <c r="J160"/>
  <c r="I160" s="1"/>
  <c r="J161"/>
  <c r="I161" s="1"/>
  <c r="J162"/>
  <c r="J163"/>
  <c r="J164"/>
  <c r="I164" s="1"/>
  <c r="J165"/>
  <c r="J166"/>
  <c r="J167"/>
  <c r="I167" s="1"/>
  <c r="J168"/>
  <c r="I168" s="1"/>
  <c r="J169"/>
  <c r="I169" s="1"/>
  <c r="J170"/>
  <c r="J171"/>
  <c r="I171" s="1"/>
  <c r="J172"/>
  <c r="I172" s="1"/>
  <c r="J173"/>
  <c r="I173" s="1"/>
  <c r="J174"/>
  <c r="J175"/>
  <c r="I175" s="1"/>
  <c r="J176"/>
  <c r="I176" s="1"/>
  <c r="J177"/>
  <c r="J178"/>
  <c r="J179"/>
  <c r="I179" s="1"/>
  <c r="J180"/>
  <c r="I180" s="1"/>
  <c r="J181"/>
  <c r="I181" s="1"/>
  <c r="J182"/>
  <c r="J183"/>
  <c r="I183" s="1"/>
  <c r="J184"/>
  <c r="I184" s="1"/>
  <c r="J185"/>
  <c r="I185" s="1"/>
  <c r="J186"/>
  <c r="J187"/>
  <c r="I187" s="1"/>
  <c r="J188"/>
  <c r="I188" s="1"/>
  <c r="J189"/>
  <c r="I189" s="1"/>
  <c r="J190"/>
  <c r="J191"/>
  <c r="I191" s="1"/>
  <c r="J192"/>
  <c r="I192" s="1"/>
  <c r="J193"/>
  <c r="I193" s="1"/>
  <c r="J194"/>
  <c r="J195"/>
  <c r="J196"/>
  <c r="I196" s="1"/>
  <c r="J197"/>
  <c r="I197" s="1"/>
  <c r="J198"/>
  <c r="J199"/>
  <c r="I199" s="1"/>
  <c r="J200"/>
  <c r="I200" s="1"/>
  <c r="J201"/>
  <c r="I201" s="1"/>
  <c r="J202"/>
  <c r="J203"/>
  <c r="I203" s="1"/>
  <c r="J204"/>
  <c r="I204" s="1"/>
  <c r="J205"/>
  <c r="I205" s="1"/>
  <c r="J206"/>
  <c r="J207"/>
  <c r="I207" s="1"/>
  <c r="J208"/>
  <c r="I208" s="1"/>
  <c r="J209"/>
  <c r="I209" s="1"/>
  <c r="J210"/>
  <c r="J211"/>
  <c r="I211" s="1"/>
  <c r="J212"/>
  <c r="I212" s="1"/>
  <c r="J213"/>
  <c r="J214"/>
  <c r="J215"/>
  <c r="I215" s="1"/>
  <c r="J216"/>
  <c r="I216" s="1"/>
  <c r="J217"/>
  <c r="I217" s="1"/>
  <c r="J218"/>
  <c r="J219"/>
  <c r="I219" s="1"/>
  <c r="J220"/>
  <c r="I220" s="1"/>
  <c r="J221"/>
  <c r="I221" s="1"/>
  <c r="J222"/>
  <c r="J223"/>
  <c r="I223" s="1"/>
  <c r="J224"/>
  <c r="I224" s="1"/>
  <c r="J225"/>
  <c r="J226"/>
  <c r="J227"/>
  <c r="J228"/>
  <c r="I228" s="1"/>
  <c r="J229"/>
  <c r="I229" s="1"/>
  <c r="J230"/>
  <c r="J231"/>
  <c r="I231" s="1"/>
  <c r="J232"/>
  <c r="I232" s="1"/>
  <c r="J233"/>
  <c r="I233" s="1"/>
  <c r="J234"/>
  <c r="J235"/>
  <c r="I235" s="1"/>
  <c r="J236"/>
  <c r="I236" s="1"/>
  <c r="J237"/>
  <c r="I237" s="1"/>
  <c r="J238"/>
  <c r="J239"/>
  <c r="I239" s="1"/>
  <c r="J240"/>
  <c r="I240" s="1"/>
  <c r="J241"/>
  <c r="I241" s="1"/>
  <c r="J242"/>
  <c r="J243"/>
  <c r="I243" s="1"/>
  <c r="J244"/>
  <c r="I244" s="1"/>
  <c r="J245"/>
  <c r="J246"/>
  <c r="J247"/>
  <c r="I247" s="1"/>
  <c r="J248"/>
  <c r="I248" s="1"/>
  <c r="J249"/>
  <c r="I249" s="1"/>
  <c r="J250"/>
  <c r="J251"/>
  <c r="I251" s="1"/>
  <c r="J252"/>
  <c r="I252" s="1"/>
  <c r="J253"/>
  <c r="I253" s="1"/>
  <c r="J254"/>
  <c r="J255"/>
  <c r="I255" s="1"/>
  <c r="J256"/>
  <c r="I256" s="1"/>
  <c r="J257"/>
  <c r="J258"/>
  <c r="J259"/>
  <c r="J260"/>
  <c r="I260" s="1"/>
  <c r="J261"/>
  <c r="J262"/>
  <c r="J263"/>
  <c r="I263" s="1"/>
  <c r="J264"/>
  <c r="I264" s="1"/>
  <c r="J265"/>
  <c r="I265" s="1"/>
  <c r="J266"/>
  <c r="J267"/>
  <c r="I267" s="1"/>
  <c r="J268"/>
  <c r="I268" s="1"/>
  <c r="J269"/>
  <c r="I269" s="1"/>
  <c r="J270"/>
  <c r="J271"/>
  <c r="I271" s="1"/>
  <c r="J272"/>
  <c r="I272" s="1"/>
  <c r="J273"/>
  <c r="J274"/>
  <c r="J275"/>
  <c r="I275" s="1"/>
  <c r="J276"/>
  <c r="I276" s="1"/>
  <c r="J277"/>
  <c r="I277" s="1"/>
  <c r="J278"/>
  <c r="J279"/>
  <c r="I279" s="1"/>
  <c r="J280"/>
  <c r="I280" s="1"/>
  <c r="J281"/>
  <c r="I281" s="1"/>
  <c r="J282"/>
  <c r="J283"/>
  <c r="I283" s="1"/>
  <c r="J284"/>
  <c r="I284" s="1"/>
  <c r="J285"/>
  <c r="I285" s="1"/>
  <c r="J286"/>
  <c r="J287"/>
  <c r="I287" s="1"/>
  <c r="J288"/>
  <c r="I288" s="1"/>
  <c r="J289"/>
  <c r="I289" s="1"/>
  <c r="J290"/>
  <c r="J291"/>
  <c r="J292"/>
  <c r="I292" s="1"/>
  <c r="J293"/>
  <c r="J294"/>
  <c r="J295"/>
  <c r="I295" s="1"/>
  <c r="J296"/>
  <c r="I296" s="1"/>
  <c r="J297"/>
  <c r="I297" s="1"/>
  <c r="J298"/>
  <c r="J299"/>
  <c r="I299" s="1"/>
  <c r="J300"/>
  <c r="I300" s="1"/>
  <c r="J301"/>
  <c r="I301" s="1"/>
  <c r="J302"/>
  <c r="J303"/>
  <c r="I303" s="1"/>
  <c r="J304"/>
  <c r="I304" s="1"/>
  <c r="J305"/>
  <c r="J306"/>
  <c r="J307"/>
  <c r="I307" s="1"/>
  <c r="J308"/>
  <c r="I308" s="1"/>
  <c r="J309"/>
  <c r="I309" s="1"/>
  <c r="J310"/>
  <c r="J311"/>
  <c r="I311" s="1"/>
  <c r="J312"/>
  <c r="I312" s="1"/>
  <c r="J313"/>
  <c r="I313" s="1"/>
  <c r="J314"/>
  <c r="J315"/>
  <c r="I315" s="1"/>
  <c r="J316"/>
  <c r="I316" s="1"/>
  <c r="J317"/>
  <c r="I317" s="1"/>
  <c r="J318"/>
  <c r="J319"/>
  <c r="I319" s="1"/>
  <c r="J320"/>
  <c r="I320" s="1"/>
  <c r="J321"/>
  <c r="I321" s="1"/>
  <c r="J322"/>
  <c r="J323"/>
  <c r="J324"/>
  <c r="I324" s="1"/>
  <c r="J325"/>
  <c r="I325" s="1"/>
  <c r="J326"/>
  <c r="J327"/>
  <c r="I327" s="1"/>
  <c r="J328"/>
  <c r="I328" s="1"/>
  <c r="J329"/>
  <c r="I329" s="1"/>
  <c r="J330"/>
  <c r="J331"/>
  <c r="I331" s="1"/>
  <c r="J332"/>
  <c r="I332" s="1"/>
  <c r="J333"/>
  <c r="I333" s="1"/>
  <c r="J334"/>
  <c r="J335"/>
  <c r="I335" s="1"/>
  <c r="J336"/>
  <c r="I336" s="1"/>
  <c r="J337"/>
  <c r="I337" s="1"/>
  <c r="J338"/>
  <c r="J339"/>
  <c r="I339" s="1"/>
  <c r="J340"/>
  <c r="I340" s="1"/>
  <c r="J341"/>
  <c r="J342"/>
  <c r="J343"/>
  <c r="I343" s="1"/>
  <c r="J344"/>
  <c r="I344" s="1"/>
  <c r="J345"/>
  <c r="I345" s="1"/>
  <c r="J346"/>
  <c r="J347"/>
  <c r="I347" s="1"/>
  <c r="J348"/>
  <c r="I348" s="1"/>
  <c r="J349"/>
  <c r="I349" s="1"/>
  <c r="J350"/>
  <c r="J351"/>
  <c r="I351" s="1"/>
  <c r="J352"/>
  <c r="I352" s="1"/>
  <c r="J353"/>
  <c r="J354"/>
  <c r="J355"/>
  <c r="J356"/>
  <c r="I356" s="1"/>
  <c r="J357"/>
  <c r="I357" s="1"/>
  <c r="J358"/>
  <c r="J359"/>
  <c r="I359" s="1"/>
  <c r="J360"/>
  <c r="I360" s="1"/>
  <c r="J361"/>
  <c r="I361" s="1"/>
  <c r="J362"/>
  <c r="J363"/>
  <c r="I363" s="1"/>
  <c r="J364"/>
  <c r="I364" s="1"/>
  <c r="J365"/>
  <c r="I365" s="1"/>
  <c r="J366"/>
  <c r="J367"/>
  <c r="I367" s="1"/>
  <c r="J368"/>
  <c r="I368" s="1"/>
  <c r="J369"/>
  <c r="I369" s="1"/>
  <c r="J370"/>
  <c r="J371"/>
  <c r="I371" s="1"/>
  <c r="J372"/>
  <c r="I372" s="1"/>
  <c r="J373"/>
  <c r="J374"/>
  <c r="J375"/>
  <c r="I375" s="1"/>
  <c r="J376"/>
  <c r="I376" s="1"/>
  <c r="J377"/>
  <c r="I377" s="1"/>
  <c r="J378"/>
  <c r="J379"/>
  <c r="I379" s="1"/>
  <c r="J380"/>
  <c r="I380" s="1"/>
  <c r="J381"/>
  <c r="I381" s="1"/>
  <c r="J382"/>
  <c r="J383"/>
  <c r="I383" s="1"/>
  <c r="J384"/>
  <c r="I384" s="1"/>
  <c r="J385"/>
  <c r="J386"/>
  <c r="J387"/>
  <c r="J388"/>
  <c r="I388" s="1"/>
  <c r="J389"/>
  <c r="J390"/>
  <c r="J391"/>
  <c r="I391" s="1"/>
  <c r="J392"/>
  <c r="I392" s="1"/>
  <c r="J393"/>
  <c r="I393" s="1"/>
  <c r="J394"/>
  <c r="J395"/>
  <c r="I395" s="1"/>
  <c r="J396"/>
  <c r="I396" s="1"/>
  <c r="J397"/>
  <c r="I397" s="1"/>
  <c r="J398"/>
  <c r="J399"/>
  <c r="I399" s="1"/>
  <c r="J400"/>
  <c r="I400" s="1"/>
  <c r="J401"/>
  <c r="J402"/>
  <c r="J403"/>
  <c r="I403" s="1"/>
  <c r="J404"/>
  <c r="I404" s="1"/>
  <c r="J405"/>
  <c r="I405" s="1"/>
  <c r="J406"/>
  <c r="J407"/>
  <c r="I407" s="1"/>
  <c r="J408"/>
  <c r="I408" s="1"/>
  <c r="J409"/>
  <c r="I409" s="1"/>
  <c r="J410"/>
  <c r="J411"/>
  <c r="I411" s="1"/>
  <c r="J412"/>
  <c r="I412" s="1"/>
  <c r="J413"/>
  <c r="I413" s="1"/>
  <c r="J414"/>
  <c r="J415"/>
  <c r="I415" s="1"/>
  <c r="J416"/>
  <c r="I416" s="1"/>
  <c r="J417"/>
  <c r="I417" s="1"/>
  <c r="J418"/>
  <c r="J419"/>
  <c r="J420"/>
  <c r="I420" s="1"/>
  <c r="J421"/>
  <c r="J422"/>
  <c r="J423"/>
  <c r="I423" s="1"/>
  <c r="J424"/>
  <c r="I424" s="1"/>
  <c r="J425"/>
  <c r="I425" s="1"/>
  <c r="J426"/>
  <c r="J427"/>
  <c r="I427" s="1"/>
  <c r="J428"/>
  <c r="I428" s="1"/>
  <c r="J429"/>
  <c r="I429" s="1"/>
  <c r="J430"/>
  <c r="J431"/>
  <c r="I431" s="1"/>
  <c r="J432"/>
  <c r="I432" s="1"/>
  <c r="J433"/>
  <c r="J434"/>
  <c r="J435"/>
  <c r="I435" s="1"/>
  <c r="J436"/>
  <c r="I436" s="1"/>
  <c r="J437"/>
  <c r="I437" s="1"/>
  <c r="J438"/>
  <c r="J439"/>
  <c r="I439" s="1"/>
  <c r="J440"/>
  <c r="I440" s="1"/>
  <c r="J441"/>
  <c r="I441" s="1"/>
  <c r="J442"/>
  <c r="J443"/>
  <c r="I443" s="1"/>
  <c r="J444"/>
  <c r="I444" s="1"/>
  <c r="J445"/>
  <c r="I445" s="1"/>
  <c r="J446"/>
  <c r="J447"/>
  <c r="I447" s="1"/>
  <c r="J448"/>
  <c r="I448" s="1"/>
  <c r="J449"/>
  <c r="I449" s="1"/>
  <c r="J450"/>
  <c r="J451"/>
  <c r="J452"/>
  <c r="I452" s="1"/>
  <c r="J453"/>
  <c r="I453" s="1"/>
  <c r="J454"/>
  <c r="J455"/>
  <c r="I455" s="1"/>
  <c r="J456"/>
  <c r="I456" s="1"/>
  <c r="J457"/>
  <c r="I457" s="1"/>
  <c r="J458"/>
  <c r="J459"/>
  <c r="I459" s="1"/>
  <c r="J460"/>
  <c r="I460" s="1"/>
  <c r="J461"/>
  <c r="I461" s="1"/>
  <c r="J462"/>
  <c r="J463"/>
  <c r="I463" s="1"/>
  <c r="J464"/>
  <c r="I464" s="1"/>
  <c r="J465"/>
  <c r="I465" s="1"/>
  <c r="J466"/>
  <c r="J467"/>
  <c r="I467" s="1"/>
  <c r="J468"/>
  <c r="I468" s="1"/>
  <c r="J469"/>
  <c r="J470"/>
  <c r="J471"/>
  <c r="I471" s="1"/>
  <c r="J472"/>
  <c r="I472" s="1"/>
  <c r="J473"/>
  <c r="I473" s="1"/>
  <c r="J474"/>
  <c r="J475"/>
  <c r="I475" s="1"/>
  <c r="J476"/>
  <c r="I476" s="1"/>
  <c r="J477"/>
  <c r="I477" s="1"/>
  <c r="J478"/>
  <c r="J479"/>
  <c r="I479" s="1"/>
  <c r="J480"/>
  <c r="I480" s="1"/>
  <c r="J481"/>
  <c r="J482"/>
  <c r="J483"/>
  <c r="J484"/>
  <c r="I484" s="1"/>
  <c r="J485"/>
  <c r="I485" s="1"/>
  <c r="J486"/>
  <c r="J487"/>
  <c r="I487" s="1"/>
  <c r="J488"/>
  <c r="I488" s="1"/>
  <c r="J489"/>
  <c r="I489" s="1"/>
  <c r="J490"/>
  <c r="J491"/>
  <c r="I491" s="1"/>
  <c r="J492"/>
  <c r="I492" s="1"/>
  <c r="J493"/>
  <c r="I493" s="1"/>
  <c r="J494"/>
  <c r="J495"/>
  <c r="I495" s="1"/>
  <c r="J496"/>
  <c r="I496" s="1"/>
  <c r="J497"/>
  <c r="I497" s="1"/>
  <c r="J498"/>
  <c r="J499"/>
  <c r="I499" s="1"/>
  <c r="J500"/>
  <c r="I500" s="1"/>
  <c r="J501"/>
  <c r="J502"/>
  <c r="J503"/>
  <c r="I503" s="1"/>
  <c r="J504"/>
  <c r="I504" s="1"/>
  <c r="J505"/>
  <c r="I505" s="1"/>
  <c r="J506"/>
  <c r="J507"/>
  <c r="I507" s="1"/>
  <c r="J508"/>
  <c r="I508" s="1"/>
  <c r="J509"/>
  <c r="I509" s="1"/>
  <c r="J510"/>
  <c r="J511"/>
  <c r="I511" s="1"/>
  <c r="J512"/>
  <c r="I512" s="1"/>
  <c r="J513"/>
  <c r="J514"/>
  <c r="J515"/>
  <c r="J516"/>
  <c r="I516" s="1"/>
  <c r="J517"/>
  <c r="J518"/>
  <c r="J519"/>
  <c r="I519" s="1"/>
  <c r="J520"/>
  <c r="I520" s="1"/>
  <c r="J521"/>
  <c r="I521" s="1"/>
  <c r="J522"/>
  <c r="J523"/>
  <c r="I523" s="1"/>
  <c r="J524"/>
  <c r="I524" s="1"/>
  <c r="J525"/>
  <c r="I525" s="1"/>
  <c r="J526"/>
  <c r="J527"/>
  <c r="I527" s="1"/>
  <c r="J528"/>
  <c r="I528" s="1"/>
  <c r="J529"/>
  <c r="J530"/>
  <c r="J531"/>
  <c r="I531" s="1"/>
  <c r="J532"/>
  <c r="I532" s="1"/>
  <c r="J533"/>
  <c r="I533" s="1"/>
  <c r="J534"/>
  <c r="J535"/>
  <c r="I535" s="1"/>
  <c r="J536"/>
  <c r="I536" s="1"/>
  <c r="J537"/>
  <c r="I537" s="1"/>
  <c r="J538"/>
  <c r="J539"/>
  <c r="I539" s="1"/>
  <c r="J540"/>
  <c r="I540" s="1"/>
  <c r="J541"/>
  <c r="I541" s="1"/>
  <c r="J542"/>
  <c r="J543"/>
  <c r="I543" s="1"/>
  <c r="J544"/>
  <c r="I544" s="1"/>
  <c r="J545"/>
  <c r="I545" s="1"/>
  <c r="J546"/>
  <c r="J547"/>
  <c r="J548"/>
  <c r="I548" s="1"/>
  <c r="J549"/>
  <c r="J550"/>
  <c r="J551"/>
  <c r="I551" s="1"/>
  <c r="J552"/>
  <c r="I552" s="1"/>
  <c r="J553"/>
  <c r="I553" s="1"/>
  <c r="J554"/>
  <c r="J555"/>
  <c r="I555" s="1"/>
  <c r="J556"/>
  <c r="I556" s="1"/>
  <c r="J557"/>
  <c r="I557" s="1"/>
  <c r="J558"/>
  <c r="J559"/>
  <c r="I559" s="1"/>
  <c r="J560"/>
  <c r="I560" s="1"/>
  <c r="J561"/>
  <c r="J562"/>
  <c r="J563"/>
  <c r="I563" s="1"/>
  <c r="J564"/>
  <c r="I564" s="1"/>
  <c r="J565"/>
  <c r="I565" s="1"/>
  <c r="J566"/>
  <c r="J567"/>
  <c r="I567" s="1"/>
  <c r="J568"/>
  <c r="I568" s="1"/>
  <c r="J569"/>
  <c r="I569" s="1"/>
  <c r="J570"/>
  <c r="J571"/>
  <c r="I571" s="1"/>
  <c r="J572"/>
  <c r="I572" s="1"/>
  <c r="J573"/>
  <c r="I573" s="1"/>
  <c r="J574"/>
  <c r="J575"/>
  <c r="I575" s="1"/>
  <c r="J576"/>
  <c r="I576" s="1"/>
  <c r="J577"/>
  <c r="I577" s="1"/>
  <c r="J578"/>
  <c r="J579"/>
  <c r="J580"/>
  <c r="I580" s="1"/>
  <c r="J581"/>
  <c r="I581" s="1"/>
  <c r="J582"/>
  <c r="J583"/>
  <c r="I583" s="1"/>
  <c r="J584"/>
  <c r="I584" s="1"/>
  <c r="J585"/>
  <c r="I585" s="1"/>
  <c r="J586"/>
  <c r="J587"/>
  <c r="I587" s="1"/>
  <c r="J588"/>
  <c r="I588" s="1"/>
  <c r="J589"/>
  <c r="I589" s="1"/>
  <c r="J590"/>
  <c r="J591"/>
  <c r="I591" s="1"/>
  <c r="J592"/>
  <c r="I592" s="1"/>
  <c r="J593"/>
  <c r="I593" s="1"/>
  <c r="J594"/>
  <c r="J595"/>
  <c r="I595" s="1"/>
  <c r="J596"/>
  <c r="I596" s="1"/>
  <c r="J597"/>
  <c r="J598"/>
  <c r="J599"/>
  <c r="I599" s="1"/>
  <c r="J600"/>
  <c r="I600" s="1"/>
  <c r="J601"/>
  <c r="I601" s="1"/>
  <c r="J602"/>
  <c r="J603"/>
  <c r="I603" s="1"/>
  <c r="J604"/>
  <c r="I604" s="1"/>
  <c r="J605"/>
  <c r="I605" s="1"/>
  <c r="J606"/>
  <c r="J607"/>
  <c r="I607" s="1"/>
  <c r="J608"/>
  <c r="I608" s="1"/>
  <c r="J609"/>
  <c r="J610"/>
  <c r="J611"/>
  <c r="J612"/>
  <c r="I612" s="1"/>
  <c r="J613"/>
  <c r="I613" s="1"/>
  <c r="J614"/>
  <c r="J615"/>
  <c r="I615" s="1"/>
  <c r="J616"/>
  <c r="I616" s="1"/>
  <c r="J617"/>
  <c r="I617" s="1"/>
  <c r="J618"/>
  <c r="J619"/>
  <c r="I619" s="1"/>
  <c r="J620"/>
  <c r="I620" s="1"/>
  <c r="J621"/>
  <c r="I621" s="1"/>
  <c r="J622"/>
  <c r="J623"/>
  <c r="I623" s="1"/>
  <c r="J624"/>
  <c r="I624" s="1"/>
  <c r="J625"/>
  <c r="I625" s="1"/>
  <c r="J626"/>
  <c r="J627"/>
  <c r="I627" s="1"/>
  <c r="J628"/>
  <c r="I628" s="1"/>
  <c r="J629"/>
  <c r="J630"/>
  <c r="J631"/>
  <c r="I631" s="1"/>
  <c r="J632"/>
  <c r="I632" s="1"/>
  <c r="J633"/>
  <c r="I633" s="1"/>
  <c r="J634"/>
  <c r="J635"/>
  <c r="I635" s="1"/>
  <c r="J636"/>
  <c r="I636" s="1"/>
  <c r="J637"/>
  <c r="I637" s="1"/>
  <c r="J638"/>
  <c r="J639"/>
  <c r="I639" s="1"/>
  <c r="J640"/>
  <c r="I640" s="1"/>
  <c r="J641"/>
  <c r="J642"/>
  <c r="J643"/>
  <c r="J644"/>
  <c r="I644" s="1"/>
  <c r="J645"/>
  <c r="J646"/>
  <c r="J647"/>
  <c r="I647" s="1"/>
  <c r="J648"/>
  <c r="I648" s="1"/>
  <c r="J649"/>
  <c r="I649" s="1"/>
  <c r="J650"/>
  <c r="J651"/>
  <c r="I651" s="1"/>
  <c r="J652"/>
  <c r="I652" s="1"/>
  <c r="J653"/>
  <c r="I653" s="1"/>
  <c r="J654"/>
  <c r="J655"/>
  <c r="I655" s="1"/>
  <c r="J656"/>
  <c r="I656" s="1"/>
  <c r="J657"/>
  <c r="J658"/>
  <c r="J659"/>
  <c r="I659" s="1"/>
  <c r="J660"/>
  <c r="I660" s="1"/>
  <c r="J661"/>
  <c r="I661" s="1"/>
  <c r="J662"/>
  <c r="J663"/>
  <c r="I663" s="1"/>
  <c r="J664"/>
  <c r="I664" s="1"/>
  <c r="J665"/>
  <c r="I665" s="1"/>
  <c r="J666"/>
  <c r="J667"/>
  <c r="I667" s="1"/>
  <c r="J668"/>
  <c r="I668" s="1"/>
  <c r="J669"/>
  <c r="I669" s="1"/>
  <c r="J670"/>
  <c r="J671"/>
  <c r="I671" s="1"/>
  <c r="J672"/>
  <c r="I672" s="1"/>
  <c r="J673"/>
  <c r="I673" s="1"/>
  <c r="J674"/>
  <c r="J675"/>
  <c r="J676"/>
  <c r="I676" s="1"/>
  <c r="J677"/>
  <c r="J678"/>
  <c r="J679"/>
  <c r="I679" s="1"/>
  <c r="J680"/>
  <c r="I680" s="1"/>
  <c r="J681"/>
  <c r="I681" s="1"/>
  <c r="J682"/>
  <c r="J683"/>
  <c r="I683" s="1"/>
  <c r="J684"/>
  <c r="I684" s="1"/>
  <c r="J685"/>
  <c r="I685" s="1"/>
  <c r="J686"/>
  <c r="J687"/>
  <c r="I687" s="1"/>
  <c r="J688"/>
  <c r="I688" s="1"/>
  <c r="J689"/>
  <c r="J690"/>
  <c r="J691"/>
  <c r="I691" s="1"/>
  <c r="J692"/>
  <c r="I692" s="1"/>
  <c r="J693"/>
  <c r="I693" s="1"/>
  <c r="J694"/>
  <c r="J695"/>
  <c r="I695" s="1"/>
  <c r="J696"/>
  <c r="I696" s="1"/>
  <c r="J697"/>
  <c r="I697" s="1"/>
  <c r="J698"/>
  <c r="J699"/>
  <c r="I699" s="1"/>
  <c r="J700"/>
  <c r="I700" s="1"/>
  <c r="J701"/>
  <c r="I701" s="1"/>
  <c r="J702"/>
  <c r="J703"/>
  <c r="I703" s="1"/>
  <c r="J704"/>
  <c r="I704" s="1"/>
  <c r="J705"/>
  <c r="I705" s="1"/>
  <c r="J706"/>
  <c r="J707"/>
  <c r="J708"/>
  <c r="I708" s="1"/>
  <c r="J709"/>
  <c r="I709" s="1"/>
  <c r="J710"/>
  <c r="J711"/>
  <c r="I711" s="1"/>
  <c r="J712"/>
  <c r="I712" s="1"/>
  <c r="J713"/>
  <c r="I713" s="1"/>
  <c r="J714"/>
  <c r="J715"/>
  <c r="I715" s="1"/>
  <c r="J716"/>
  <c r="I716" s="1"/>
  <c r="J717"/>
  <c r="I717" s="1"/>
  <c r="J718"/>
  <c r="J719"/>
  <c r="I719" s="1"/>
  <c r="J720"/>
  <c r="I720" s="1"/>
  <c r="J721"/>
  <c r="I721" s="1"/>
  <c r="J722"/>
  <c r="J723"/>
  <c r="I723" s="1"/>
  <c r="J724"/>
  <c r="I724" s="1"/>
  <c r="J725"/>
  <c r="J726"/>
  <c r="J727"/>
  <c r="I727" s="1"/>
  <c r="J728"/>
  <c r="I728" s="1"/>
  <c r="J729"/>
  <c r="I729" s="1"/>
  <c r="J730"/>
  <c r="J731"/>
  <c r="I731" s="1"/>
  <c r="J732"/>
  <c r="I732" s="1"/>
  <c r="J733"/>
  <c r="I733" s="1"/>
  <c r="J734"/>
  <c r="J735"/>
  <c r="I735" s="1"/>
  <c r="J736"/>
  <c r="I736" s="1"/>
  <c r="J737"/>
  <c r="J738"/>
  <c r="J739"/>
  <c r="J740"/>
  <c r="I740" s="1"/>
  <c r="J741"/>
  <c r="I741" s="1"/>
  <c r="J742"/>
  <c r="J743"/>
  <c r="I743" s="1"/>
  <c r="J744"/>
  <c r="I744" s="1"/>
  <c r="J745"/>
  <c r="I745" s="1"/>
  <c r="J746"/>
  <c r="J747"/>
  <c r="J748"/>
  <c r="I748" s="1"/>
  <c r="J749"/>
  <c r="I749" s="1"/>
  <c r="J750"/>
  <c r="J751"/>
  <c r="I751" s="1"/>
  <c r="J752"/>
  <c r="I752" s="1"/>
  <c r="J753"/>
  <c r="I753" s="1"/>
  <c r="J754"/>
  <c r="J755"/>
  <c r="J756"/>
  <c r="I756" s="1"/>
  <c r="J757"/>
  <c r="I757" s="1"/>
  <c r="J758"/>
  <c r="J759"/>
  <c r="I759" s="1"/>
  <c r="J760"/>
  <c r="I760" s="1"/>
  <c r="J761"/>
  <c r="I761" s="1"/>
  <c r="J762"/>
  <c r="J763"/>
  <c r="J764"/>
  <c r="I764" s="1"/>
  <c r="J765"/>
  <c r="I765" s="1"/>
  <c r="J766"/>
  <c r="J767"/>
  <c r="I767" s="1"/>
  <c r="J768"/>
  <c r="I768" s="1"/>
  <c r="J769"/>
  <c r="I769" s="1"/>
  <c r="J770"/>
  <c r="J771"/>
  <c r="J772"/>
  <c r="I772" s="1"/>
  <c r="J773"/>
  <c r="I773" s="1"/>
  <c r="J774"/>
  <c r="J775"/>
  <c r="I775" s="1"/>
  <c r="J776"/>
  <c r="I776" s="1"/>
  <c r="J777"/>
  <c r="I777" s="1"/>
  <c r="J778"/>
  <c r="J779"/>
  <c r="J780"/>
  <c r="I780" s="1"/>
  <c r="J781"/>
  <c r="I781" s="1"/>
  <c r="J782"/>
  <c r="J783"/>
  <c r="I783" s="1"/>
  <c r="J784"/>
  <c r="I784" s="1"/>
  <c r="J785"/>
  <c r="I785" s="1"/>
  <c r="J786"/>
  <c r="J787"/>
  <c r="J788"/>
  <c r="I788" s="1"/>
  <c r="J789"/>
  <c r="I789" s="1"/>
  <c r="J790"/>
  <c r="J791"/>
  <c r="I791" s="1"/>
  <c r="J792"/>
  <c r="I792" s="1"/>
  <c r="J793"/>
  <c r="I793" s="1"/>
  <c r="J794"/>
  <c r="J795"/>
  <c r="J796"/>
  <c r="I796" s="1"/>
  <c r="J797"/>
  <c r="I797" s="1"/>
  <c r="J798"/>
  <c r="J799"/>
  <c r="I799" s="1"/>
  <c r="J800"/>
  <c r="I800" s="1"/>
  <c r="J801"/>
  <c r="I801" s="1"/>
  <c r="J802"/>
  <c r="J803"/>
  <c r="J804"/>
  <c r="I804" s="1"/>
  <c r="J805"/>
  <c r="I805" s="1"/>
  <c r="J806"/>
  <c r="J807"/>
  <c r="I807" s="1"/>
  <c r="J808"/>
  <c r="I808" s="1"/>
  <c r="J809"/>
  <c r="I809" s="1"/>
  <c r="J810"/>
  <c r="J811"/>
  <c r="J812"/>
  <c r="I812" s="1"/>
  <c r="J813"/>
  <c r="I813" s="1"/>
  <c r="J814"/>
  <c r="J815"/>
  <c r="I815" s="1"/>
  <c r="J816"/>
  <c r="I816" s="1"/>
  <c r="J817"/>
  <c r="I817" s="1"/>
  <c r="J818"/>
  <c r="J819"/>
  <c r="J820"/>
  <c r="I820" s="1"/>
  <c r="J821"/>
  <c r="I821" s="1"/>
  <c r="J822"/>
  <c r="J823"/>
  <c r="I823" s="1"/>
  <c r="J824"/>
  <c r="I824" s="1"/>
  <c r="J825"/>
  <c r="I825" s="1"/>
  <c r="J826"/>
  <c r="J827"/>
  <c r="J828"/>
  <c r="I828" s="1"/>
  <c r="J829"/>
  <c r="I829" s="1"/>
  <c r="J830"/>
  <c r="J831"/>
  <c r="I831" s="1"/>
  <c r="J832"/>
  <c r="I832" s="1"/>
  <c r="J833"/>
  <c r="I833" s="1"/>
  <c r="J834"/>
  <c r="J835"/>
  <c r="J836"/>
  <c r="I836" s="1"/>
  <c r="J837"/>
  <c r="I837" s="1"/>
  <c r="J838"/>
  <c r="J839"/>
  <c r="I839" s="1"/>
  <c r="J840"/>
  <c r="I840" s="1"/>
  <c r="J841"/>
  <c r="I841" s="1"/>
  <c r="J842"/>
  <c r="J843"/>
  <c r="J844"/>
  <c r="I844" s="1"/>
  <c r="J845"/>
  <c r="I845" s="1"/>
  <c r="J846"/>
  <c r="J847"/>
  <c r="I847" s="1"/>
  <c r="J848"/>
  <c r="I848" s="1"/>
  <c r="J849"/>
  <c r="I849" s="1"/>
  <c r="J850"/>
  <c r="J851"/>
  <c r="J852"/>
  <c r="I852" s="1"/>
  <c r="J853"/>
  <c r="I853" s="1"/>
  <c r="J854"/>
  <c r="J855"/>
  <c r="I855" s="1"/>
  <c r="J856"/>
  <c r="I856" s="1"/>
  <c r="J857"/>
  <c r="I857" s="1"/>
  <c r="J858"/>
  <c r="J859"/>
  <c r="J860"/>
  <c r="I860" s="1"/>
  <c r="J861"/>
  <c r="I861" s="1"/>
  <c r="J862"/>
  <c r="J863"/>
  <c r="I863" s="1"/>
  <c r="J864"/>
  <c r="I864" s="1"/>
  <c r="J865"/>
  <c r="I865" s="1"/>
  <c r="J866"/>
  <c r="J867"/>
  <c r="J868"/>
  <c r="I868" s="1"/>
  <c r="J869"/>
  <c r="I869" s="1"/>
  <c r="J870"/>
  <c r="J871"/>
  <c r="I871" s="1"/>
  <c r="J872"/>
  <c r="I872" s="1"/>
  <c r="J873"/>
  <c r="I873" s="1"/>
  <c r="J874"/>
  <c r="J875"/>
  <c r="J876"/>
  <c r="I876" s="1"/>
  <c r="J877"/>
  <c r="I877" s="1"/>
  <c r="J878"/>
  <c r="J879"/>
  <c r="I879" s="1"/>
  <c r="J880"/>
  <c r="I880" s="1"/>
  <c r="J881"/>
  <c r="I881" s="1"/>
  <c r="J882"/>
  <c r="J883"/>
  <c r="J884"/>
  <c r="I884" s="1"/>
  <c r="J885"/>
  <c r="I885" s="1"/>
  <c r="J886"/>
  <c r="J887"/>
  <c r="I887" s="1"/>
  <c r="J888"/>
  <c r="I888" s="1"/>
  <c r="J889"/>
  <c r="I889" s="1"/>
  <c r="J890"/>
  <c r="J891"/>
  <c r="J892"/>
  <c r="I892" s="1"/>
  <c r="J893"/>
  <c r="I893" s="1"/>
  <c r="J894"/>
  <c r="J895"/>
  <c r="I895" s="1"/>
  <c r="J896"/>
  <c r="I896" s="1"/>
  <c r="J897"/>
  <c r="I897" s="1"/>
  <c r="J898"/>
  <c r="J899"/>
  <c r="J900"/>
  <c r="I900" s="1"/>
  <c r="J901"/>
  <c r="I901" s="1"/>
  <c r="J902"/>
  <c r="J903"/>
  <c r="I903" s="1"/>
  <c r="J904"/>
  <c r="I904" s="1"/>
  <c r="J905"/>
  <c r="I905" s="1"/>
  <c r="J906"/>
  <c r="J907"/>
  <c r="J908"/>
  <c r="I908" s="1"/>
  <c r="J909"/>
  <c r="I909" s="1"/>
  <c r="J910"/>
  <c r="J911"/>
  <c r="I911" s="1"/>
  <c r="J912"/>
  <c r="I912" s="1"/>
  <c r="J913"/>
  <c r="I913" s="1"/>
  <c r="J914"/>
  <c r="J915"/>
  <c r="J916"/>
  <c r="I916" s="1"/>
  <c r="J917"/>
  <c r="I917" s="1"/>
  <c r="J918"/>
  <c r="J919"/>
  <c r="I919" s="1"/>
  <c r="J920"/>
  <c r="I920" s="1"/>
  <c r="J921"/>
  <c r="I921" s="1"/>
  <c r="J922"/>
  <c r="J923"/>
  <c r="J924"/>
  <c r="I924" s="1"/>
  <c r="J925"/>
  <c r="I925" s="1"/>
  <c r="J926"/>
  <c r="J927"/>
  <c r="I927" s="1"/>
  <c r="J928"/>
  <c r="I928" s="1"/>
  <c r="J929"/>
  <c r="I929" s="1"/>
  <c r="J930"/>
  <c r="J931"/>
  <c r="J932"/>
  <c r="I932" s="1"/>
  <c r="J933"/>
  <c r="I933" s="1"/>
  <c r="J934"/>
  <c r="J935"/>
  <c r="I935" s="1"/>
  <c r="J936"/>
  <c r="I936" s="1"/>
  <c r="J937"/>
  <c r="I937" s="1"/>
  <c r="J938"/>
  <c r="J939"/>
  <c r="J940"/>
  <c r="I940" s="1"/>
  <c r="J941"/>
  <c r="I941" s="1"/>
  <c r="J942"/>
  <c r="J943"/>
  <c r="I943" s="1"/>
  <c r="J944"/>
  <c r="I944" s="1"/>
  <c r="J945"/>
  <c r="I945" s="1"/>
  <c r="J946"/>
  <c r="J947"/>
  <c r="J948"/>
  <c r="I948" s="1"/>
  <c r="J949"/>
  <c r="I949" s="1"/>
  <c r="J950"/>
  <c r="J951"/>
  <c r="I951" s="1"/>
  <c r="J952"/>
  <c r="I952" s="1"/>
  <c r="J953"/>
  <c r="I953" s="1"/>
  <c r="J954"/>
  <c r="J955"/>
  <c r="J956"/>
  <c r="I956" s="1"/>
  <c r="J957"/>
  <c r="I957" s="1"/>
  <c r="J958"/>
  <c r="J959"/>
  <c r="I959" s="1"/>
  <c r="J960"/>
  <c r="I960" s="1"/>
  <c r="J961"/>
  <c r="I961" s="1"/>
  <c r="J962"/>
  <c r="J963"/>
  <c r="J964"/>
  <c r="I964" s="1"/>
  <c r="J965"/>
  <c r="I965" s="1"/>
  <c r="J966"/>
  <c r="J967"/>
  <c r="I967" s="1"/>
  <c r="J968"/>
  <c r="I968" s="1"/>
  <c r="J969"/>
  <c r="I969" s="1"/>
  <c r="J970"/>
  <c r="J971"/>
  <c r="J972"/>
  <c r="I972" s="1"/>
  <c r="J973"/>
  <c r="I973" s="1"/>
  <c r="J974"/>
  <c r="J975"/>
  <c r="I975" s="1"/>
  <c r="J976"/>
  <c r="I976" s="1"/>
  <c r="J977"/>
  <c r="I977" s="1"/>
  <c r="J978"/>
  <c r="J979"/>
  <c r="J980"/>
  <c r="I980" s="1"/>
  <c r="J981"/>
  <c r="I981" s="1"/>
  <c r="J982"/>
  <c r="J983"/>
  <c r="I983" s="1"/>
  <c r="J984"/>
  <c r="I984" s="1"/>
  <c r="J985"/>
  <c r="I985" s="1"/>
  <c r="J986"/>
  <c r="J987"/>
  <c r="J988"/>
  <c r="I988" s="1"/>
  <c r="J989"/>
  <c r="I989" s="1"/>
  <c r="J990"/>
  <c r="J991"/>
  <c r="I991" s="1"/>
  <c r="J992"/>
  <c r="I992" s="1"/>
  <c r="J993"/>
  <c r="I993" s="1"/>
  <c r="J994"/>
  <c r="J995"/>
  <c r="J996"/>
  <c r="I996" s="1"/>
  <c r="J997"/>
  <c r="I997" s="1"/>
  <c r="J998"/>
  <c r="J999"/>
  <c r="I999" s="1"/>
  <c r="J1000"/>
  <c r="I1000" s="1"/>
  <c r="J1001"/>
  <c r="I1001" s="1"/>
  <c r="J1002"/>
  <c r="J1003"/>
  <c r="J1004"/>
  <c r="I1004" s="1"/>
  <c r="J1005"/>
  <c r="I1005" s="1"/>
  <c r="J1006"/>
  <c r="J1007"/>
  <c r="I1007" s="1"/>
  <c r="J1008"/>
  <c r="I1008" s="1"/>
  <c r="J1009"/>
  <c r="I1009" s="1"/>
  <c r="J1010"/>
  <c r="J1011"/>
  <c r="J1012"/>
  <c r="I1012" s="1"/>
  <c r="J1013"/>
  <c r="I1013" s="1"/>
  <c r="J1014"/>
  <c r="J1015"/>
  <c r="I1015" s="1"/>
  <c r="J1016"/>
  <c r="I1016" s="1"/>
  <c r="J1017"/>
  <c r="I1017" s="1"/>
  <c r="J1018"/>
  <c r="J1019"/>
  <c r="J1020"/>
  <c r="I1020" s="1"/>
  <c r="J1021"/>
  <c r="I1021" s="1"/>
  <c r="J1022"/>
  <c r="J1023"/>
  <c r="I1023" s="1"/>
  <c r="J1024"/>
  <c r="I1024" s="1"/>
  <c r="J1025"/>
  <c r="I1025" s="1"/>
  <c r="J1026"/>
  <c r="J1027"/>
  <c r="J1028"/>
  <c r="I1028" s="1"/>
  <c r="J1029"/>
  <c r="I1029" s="1"/>
  <c r="J1030"/>
  <c r="J1031"/>
  <c r="I1031" s="1"/>
  <c r="J1032"/>
  <c r="I1032" s="1"/>
  <c r="J1033"/>
  <c r="I1033" s="1"/>
  <c r="J1034"/>
  <c r="J1035"/>
  <c r="J1036"/>
  <c r="I1036" s="1"/>
  <c r="J1037"/>
  <c r="I1037" s="1"/>
  <c r="J1038"/>
  <c r="J1039"/>
  <c r="I1039" s="1"/>
  <c r="J1040"/>
  <c r="I1040" s="1"/>
  <c r="J1041"/>
  <c r="I1041" s="1"/>
  <c r="J1042"/>
  <c r="J1043"/>
  <c r="J1044"/>
  <c r="I1044" s="1"/>
  <c r="J1045"/>
  <c r="I1045" s="1"/>
  <c r="J1046"/>
  <c r="J1047"/>
  <c r="I1047" s="1"/>
  <c r="J1048"/>
  <c r="I1048" s="1"/>
  <c r="J1049"/>
  <c r="I1049" s="1"/>
  <c r="J1050"/>
  <c r="J1051"/>
  <c r="J1052"/>
  <c r="I1052" s="1"/>
  <c r="J1053"/>
  <c r="I1053" s="1"/>
  <c r="J1054"/>
  <c r="J1055"/>
  <c r="I1055" s="1"/>
  <c r="J1056"/>
  <c r="I1056" s="1"/>
  <c r="J1057"/>
  <c r="I1057" s="1"/>
  <c r="J1058"/>
  <c r="J1059"/>
  <c r="J1060"/>
  <c r="I1060" s="1"/>
  <c r="J1061"/>
  <c r="I1061" s="1"/>
  <c r="J1062"/>
  <c r="J1063"/>
  <c r="I1063" s="1"/>
  <c r="J1064"/>
  <c r="I1064" s="1"/>
  <c r="J1065"/>
  <c r="I1065" s="1"/>
  <c r="J1066"/>
  <c r="J1067"/>
  <c r="J1068"/>
  <c r="I1068" s="1"/>
  <c r="J1069"/>
  <c r="I1069" s="1"/>
  <c r="J1070"/>
  <c r="J1071"/>
  <c r="I1071" s="1"/>
  <c r="J1072"/>
  <c r="I1072" s="1"/>
  <c r="J1073"/>
  <c r="I1073" s="1"/>
  <c r="J1074"/>
  <c r="J1075"/>
  <c r="J1076"/>
  <c r="I1076" s="1"/>
  <c r="J1077"/>
  <c r="I1077" s="1"/>
  <c r="J1078"/>
  <c r="J1079"/>
  <c r="I1079" s="1"/>
  <c r="J1080"/>
  <c r="I1080" s="1"/>
  <c r="J1081"/>
  <c r="I1081" s="1"/>
  <c r="J1082"/>
  <c r="J1083"/>
  <c r="J1084"/>
  <c r="I1084" s="1"/>
  <c r="J1085"/>
  <c r="I1085" s="1"/>
  <c r="J1086"/>
  <c r="J1087"/>
  <c r="I1087" s="1"/>
  <c r="J1088"/>
  <c r="I1088" s="1"/>
  <c r="J1089"/>
  <c r="I1089" s="1"/>
  <c r="J1090"/>
  <c r="J1091"/>
  <c r="J1092"/>
  <c r="I1092" s="1"/>
  <c r="J1093"/>
  <c r="I1093" s="1"/>
  <c r="J1094"/>
  <c r="J1095"/>
  <c r="I1095" s="1"/>
  <c r="J1096"/>
  <c r="I1096" s="1"/>
  <c r="J1097"/>
  <c r="I1097" s="1"/>
  <c r="J1098"/>
  <c r="J1099"/>
  <c r="J1100"/>
  <c r="I1100" s="1"/>
  <c r="J1101"/>
  <c r="I1101" s="1"/>
  <c r="J1102"/>
  <c r="J1103"/>
  <c r="I1103" s="1"/>
  <c r="J1104"/>
  <c r="I1104" s="1"/>
  <c r="J1105"/>
  <c r="I1105" s="1"/>
  <c r="J1106"/>
  <c r="J1107"/>
  <c r="J1108"/>
  <c r="I1108" s="1"/>
  <c r="J1109"/>
  <c r="I1109" s="1"/>
  <c r="J1110"/>
  <c r="J1111"/>
  <c r="I1111" s="1"/>
  <c r="J1112"/>
  <c r="I1112" s="1"/>
  <c r="J1113"/>
  <c r="J1114"/>
  <c r="J1115"/>
  <c r="J1116"/>
  <c r="I1116" s="1"/>
  <c r="J1117"/>
  <c r="I1117" s="1"/>
  <c r="J1118"/>
  <c r="J1119"/>
  <c r="I1119" s="1"/>
  <c r="J1120"/>
  <c r="I1120" s="1"/>
  <c r="J1121"/>
  <c r="I1121" s="1"/>
  <c r="J1122"/>
  <c r="J1123"/>
  <c r="J1124"/>
  <c r="I1124" s="1"/>
  <c r="J1125"/>
  <c r="I1125" s="1"/>
  <c r="J1126"/>
  <c r="J1127"/>
  <c r="I1127" s="1"/>
  <c r="J1128"/>
  <c r="I1128" s="1"/>
  <c r="J1129"/>
  <c r="I1129" s="1"/>
  <c r="J1130"/>
  <c r="J1131"/>
  <c r="J1132"/>
  <c r="I1132" s="1"/>
  <c r="J1133"/>
  <c r="I1133" s="1"/>
  <c r="J1134"/>
  <c r="J1135"/>
  <c r="I1135" s="1"/>
  <c r="J1136"/>
  <c r="I1136" s="1"/>
  <c r="J1137"/>
  <c r="I1137" s="1"/>
  <c r="J1138"/>
  <c r="J1139"/>
  <c r="J1140"/>
  <c r="I1140" s="1"/>
  <c r="J1141"/>
  <c r="I1141" s="1"/>
  <c r="J1142"/>
  <c r="J1143"/>
  <c r="I1143" s="1"/>
  <c r="J1144"/>
  <c r="I1144" s="1"/>
  <c r="J1145"/>
  <c r="I1145" s="1"/>
  <c r="J1146"/>
  <c r="J1147"/>
  <c r="J1148"/>
  <c r="I1148" s="1"/>
  <c r="J1149"/>
  <c r="I1149" s="1"/>
  <c r="J1150"/>
  <c r="J1151"/>
  <c r="I1151" s="1"/>
  <c r="J1152"/>
  <c r="I1152" s="1"/>
  <c r="J1153"/>
  <c r="I1153" s="1"/>
  <c r="J1154"/>
  <c r="J1155"/>
  <c r="I1155" s="1"/>
  <c r="J1156"/>
  <c r="I1156" s="1"/>
  <c r="J1157"/>
  <c r="I1157" s="1"/>
  <c r="J1158"/>
  <c r="J1159"/>
  <c r="I1159" s="1"/>
  <c r="J1160"/>
  <c r="J1161"/>
  <c r="J1162"/>
  <c r="J1163"/>
  <c r="I1163" s="1"/>
  <c r="J1164"/>
  <c r="I1164" s="1"/>
  <c r="J1165"/>
  <c r="J1166"/>
  <c r="J1167"/>
  <c r="I1167" s="1"/>
  <c r="J1168"/>
  <c r="I1168" s="1"/>
  <c r="J1169"/>
  <c r="I1169" s="1"/>
  <c r="J1170"/>
  <c r="J1171"/>
  <c r="I1171" s="1"/>
  <c r="J1172"/>
  <c r="I1172" s="1"/>
  <c r="J1173"/>
  <c r="I1173" s="1"/>
  <c r="J1174"/>
  <c r="J1175"/>
  <c r="I1175" s="1"/>
  <c r="J1176"/>
  <c r="J1177"/>
  <c r="J1178"/>
  <c r="J1179"/>
  <c r="I1179" s="1"/>
  <c r="J1180"/>
  <c r="I1180" s="1"/>
  <c r="J1181"/>
  <c r="J1182"/>
  <c r="I1182" s="1"/>
  <c r="J1183"/>
  <c r="I1183" s="1"/>
  <c r="J1184"/>
  <c r="I1184" s="1"/>
  <c r="J1185"/>
  <c r="I1185" s="1"/>
  <c r="J1186"/>
  <c r="I1186" s="1"/>
  <c r="J1187"/>
  <c r="I1187" s="1"/>
  <c r="J1188"/>
  <c r="I1188" s="1"/>
  <c r="J1189"/>
  <c r="J1190"/>
  <c r="I1190" s="1"/>
  <c r="J1191"/>
  <c r="I1191" s="1"/>
  <c r="J1192"/>
  <c r="I1192" s="1"/>
  <c r="J1193"/>
  <c r="I1193" s="1"/>
  <c r="J1194"/>
  <c r="I1194" s="1"/>
  <c r="J1195"/>
  <c r="I1195" s="1"/>
  <c r="J1196"/>
  <c r="I1196" s="1"/>
  <c r="J1197"/>
  <c r="J1198"/>
  <c r="I1198" s="1"/>
  <c r="J1199"/>
  <c r="I1199" s="1"/>
  <c r="J1200"/>
  <c r="I1200" s="1"/>
  <c r="J1201"/>
  <c r="I1201" s="1"/>
  <c r="J1202"/>
  <c r="I1202" s="1"/>
  <c r="J1203"/>
  <c r="I1203" s="1"/>
  <c r="J1204"/>
  <c r="I1204" s="1"/>
  <c r="J1205"/>
  <c r="J1206"/>
  <c r="I1206" s="1"/>
  <c r="J1207"/>
  <c r="I1207" s="1"/>
  <c r="J1208"/>
  <c r="I1208" s="1"/>
  <c r="J1209"/>
  <c r="I1209" s="1"/>
  <c r="J1210"/>
  <c r="I1210" s="1"/>
  <c r="J1211"/>
  <c r="I1211" s="1"/>
  <c r="J1212"/>
  <c r="I1212" s="1"/>
  <c r="J1213"/>
  <c r="J1214"/>
  <c r="I1214" s="1"/>
  <c r="J1215"/>
  <c r="I1215" s="1"/>
  <c r="J1216"/>
  <c r="I1216" s="1"/>
  <c r="J1217"/>
  <c r="I1217" s="1"/>
  <c r="J1218"/>
  <c r="I1218" s="1"/>
  <c r="J1219"/>
  <c r="I1219" s="1"/>
  <c r="J1220"/>
  <c r="I1220" s="1"/>
  <c r="J1221"/>
  <c r="J1222"/>
  <c r="I1222" s="1"/>
  <c r="J1223"/>
  <c r="I1223" s="1"/>
  <c r="J1224"/>
  <c r="I1224" s="1"/>
  <c r="J1225"/>
  <c r="I1225" s="1"/>
  <c r="J1226"/>
  <c r="I1226" s="1"/>
  <c r="J1227"/>
  <c r="I1227" s="1"/>
  <c r="J1228"/>
  <c r="I1228" s="1"/>
  <c r="J1229"/>
  <c r="J1230"/>
  <c r="J1231"/>
  <c r="I1231" s="1"/>
  <c r="J1232"/>
  <c r="I1232" s="1"/>
  <c r="J1233"/>
  <c r="J1234"/>
  <c r="J1235"/>
  <c r="I1235" s="1"/>
  <c r="J1236"/>
  <c r="I1236" s="1"/>
  <c r="J1237"/>
  <c r="I1237" s="1"/>
  <c r="J1238"/>
  <c r="J1239"/>
  <c r="J1240"/>
  <c r="I1240" s="1"/>
  <c r="J1241"/>
  <c r="I1241" s="1"/>
  <c r="J1242"/>
  <c r="I1242" s="1"/>
  <c r="J1243"/>
  <c r="I1243" s="1"/>
  <c r="J1244"/>
  <c r="I1244" s="1"/>
  <c r="J1245"/>
  <c r="I1245" s="1"/>
  <c r="J1246"/>
  <c r="J1247"/>
  <c r="I1247" s="1"/>
  <c r="J1248"/>
  <c r="I1248" s="1"/>
  <c r="J1249"/>
  <c r="J1250"/>
  <c r="J1251"/>
  <c r="I1251" s="1"/>
  <c r="J1252"/>
  <c r="I1252" s="1"/>
  <c r="J1253"/>
  <c r="I1253" s="1"/>
  <c r="J1254"/>
  <c r="J1255"/>
  <c r="J1256"/>
  <c r="I1256" s="1"/>
  <c r="J1257"/>
  <c r="I1257" s="1"/>
  <c r="J1258"/>
  <c r="I1258" s="1"/>
  <c r="J1259"/>
  <c r="I1259" s="1"/>
  <c r="J1260"/>
  <c r="I1260" s="1"/>
  <c r="J1261"/>
  <c r="I1261" s="1"/>
  <c r="J1262"/>
  <c r="J1263"/>
  <c r="I1263" s="1"/>
  <c r="J1264"/>
  <c r="I1264" s="1"/>
  <c r="J1265"/>
  <c r="J1266"/>
  <c r="J1267"/>
  <c r="I1267" s="1"/>
  <c r="J1268"/>
  <c r="I1268" s="1"/>
  <c r="J6"/>
  <c r="I6" s="1"/>
  <c r="I1154"/>
  <c r="I1229"/>
  <c r="I10"/>
  <c r="I14"/>
  <c r="I17"/>
  <c r="I18"/>
  <c r="I22"/>
  <c r="I26"/>
  <c r="I30"/>
  <c r="I34"/>
  <c r="I35"/>
  <c r="I37"/>
  <c r="I38"/>
  <c r="I42"/>
  <c r="I46"/>
  <c r="I49"/>
  <c r="I50"/>
  <c r="I54"/>
  <c r="I58"/>
  <c r="I62"/>
  <c r="I66"/>
  <c r="I67"/>
  <c r="I70"/>
  <c r="I74"/>
  <c r="I78"/>
  <c r="I82"/>
  <c r="I85"/>
  <c r="I86"/>
  <c r="I90"/>
  <c r="I94"/>
  <c r="I97"/>
  <c r="I98"/>
  <c r="I99"/>
  <c r="I102"/>
  <c r="I106"/>
  <c r="I110"/>
  <c r="I114"/>
  <c r="I117"/>
  <c r="I118"/>
  <c r="I122"/>
  <c r="I126"/>
  <c r="I129"/>
  <c r="I130"/>
  <c r="I131"/>
  <c r="I133"/>
  <c r="I134"/>
  <c r="I138"/>
  <c r="I142"/>
  <c r="I145"/>
  <c r="I146"/>
  <c r="I150"/>
  <c r="I154"/>
  <c r="I158"/>
  <c r="I162"/>
  <c r="I163"/>
  <c r="I165"/>
  <c r="I166"/>
  <c r="I170"/>
  <c r="I174"/>
  <c r="I177"/>
  <c r="I178"/>
  <c r="I182"/>
  <c r="I186"/>
  <c r="I190"/>
  <c r="I194"/>
  <c r="I195"/>
  <c r="I198"/>
  <c r="I202"/>
  <c r="I206"/>
  <c r="I210"/>
  <c r="I213"/>
  <c r="I214"/>
  <c r="I218"/>
  <c r="I222"/>
  <c r="I225"/>
  <c r="I226"/>
  <c r="I227"/>
  <c r="I230"/>
  <c r="I234"/>
  <c r="I238"/>
  <c r="I242"/>
  <c r="I245"/>
  <c r="I246"/>
  <c r="I250"/>
  <c r="I254"/>
  <c r="I257"/>
  <c r="I258"/>
  <c r="I259"/>
  <c r="I261"/>
  <c r="I262"/>
  <c r="I266"/>
  <c r="I270"/>
  <c r="I273"/>
  <c r="I274"/>
  <c r="I278"/>
  <c r="I282"/>
  <c r="I286"/>
  <c r="I290"/>
  <c r="I291"/>
  <c r="I293"/>
  <c r="I294"/>
  <c r="I298"/>
  <c r="I302"/>
  <c r="I305"/>
  <c r="I306"/>
  <c r="I310"/>
  <c r="I314"/>
  <c r="I318"/>
  <c r="I322"/>
  <c r="I323"/>
  <c r="I326"/>
  <c r="I330"/>
  <c r="I334"/>
  <c r="I338"/>
  <c r="I341"/>
  <c r="I342"/>
  <c r="I346"/>
  <c r="I350"/>
  <c r="I353"/>
  <c r="I354"/>
  <c r="I355"/>
  <c r="I358"/>
  <c r="I362"/>
  <c r="I366"/>
  <c r="I370"/>
  <c r="I373"/>
  <c r="I374"/>
  <c r="I378"/>
  <c r="I382"/>
  <c r="I385"/>
  <c r="I386"/>
  <c r="I387"/>
  <c r="I389"/>
  <c r="I390"/>
  <c r="I394"/>
  <c r="I398"/>
  <c r="I401"/>
  <c r="I402"/>
  <c r="I406"/>
  <c r="I410"/>
  <c r="I414"/>
  <c r="I418"/>
  <c r="I419"/>
  <c r="I421"/>
  <c r="I422"/>
  <c r="I426"/>
  <c r="I430"/>
  <c r="I433"/>
  <c r="I434"/>
  <c r="I438"/>
  <c r="I442"/>
  <c r="I446"/>
  <c r="I450"/>
  <c r="I451"/>
  <c r="I454"/>
  <c r="I458"/>
  <c r="I462"/>
  <c r="I466"/>
  <c r="I469"/>
  <c r="I470"/>
  <c r="I474"/>
  <c r="I478"/>
  <c r="I481"/>
  <c r="I482"/>
  <c r="I483"/>
  <c r="I486"/>
  <c r="I490"/>
  <c r="I494"/>
  <c r="I498"/>
  <c r="I501"/>
  <c r="I502"/>
  <c r="I506"/>
  <c r="I510"/>
  <c r="I513"/>
  <c r="I514"/>
  <c r="I515"/>
  <c r="I517"/>
  <c r="I518"/>
  <c r="I522"/>
  <c r="I526"/>
  <c r="I529"/>
  <c r="I530"/>
  <c r="I534"/>
  <c r="I538"/>
  <c r="I542"/>
  <c r="I546"/>
  <c r="I547"/>
  <c r="I549"/>
  <c r="I550"/>
  <c r="I554"/>
  <c r="I558"/>
  <c r="I561"/>
  <c r="I562"/>
  <c r="I566"/>
  <c r="I570"/>
  <c r="I574"/>
  <c r="I578"/>
  <c r="I579"/>
  <c r="I582"/>
  <c r="I586"/>
  <c r="I590"/>
  <c r="I594"/>
  <c r="I597"/>
  <c r="I598"/>
  <c r="I602"/>
  <c r="I606"/>
  <c r="I609"/>
  <c r="I610"/>
  <c r="I611"/>
  <c r="I614"/>
  <c r="I618"/>
  <c r="I622"/>
  <c r="I626"/>
  <c r="I629"/>
  <c r="I630"/>
  <c r="I634"/>
  <c r="I638"/>
  <c r="I641"/>
  <c r="I642"/>
  <c r="I643"/>
  <c r="I645"/>
  <c r="I646"/>
  <c r="I650"/>
  <c r="I654"/>
  <c r="I657"/>
  <c r="I658"/>
  <c r="I662"/>
  <c r="I666"/>
  <c r="I670"/>
  <c r="I674"/>
  <c r="I675"/>
  <c r="I677"/>
  <c r="I678"/>
  <c r="I682"/>
  <c r="I686"/>
  <c r="I689"/>
  <c r="I690"/>
  <c r="I694"/>
  <c r="I698"/>
  <c r="I702"/>
  <c r="I706"/>
  <c r="I707"/>
  <c r="I710"/>
  <c r="I714"/>
  <c r="I718"/>
  <c r="I722"/>
  <c r="I725"/>
  <c r="I726"/>
  <c r="I730"/>
  <c r="I734"/>
  <c r="I737"/>
  <c r="I738"/>
  <c r="I739"/>
  <c r="I746"/>
  <c r="I747"/>
  <c r="I750"/>
  <c r="I754"/>
  <c r="I755"/>
  <c r="I758"/>
  <c r="I762"/>
  <c r="I763"/>
  <c r="I766"/>
  <c r="I770"/>
  <c r="I771"/>
  <c r="I774"/>
  <c r="I778"/>
  <c r="I779"/>
  <c r="I782"/>
  <c r="I786"/>
  <c r="I787"/>
  <c r="I790"/>
  <c r="I794"/>
  <c r="I795"/>
  <c r="I798"/>
  <c r="I802"/>
  <c r="I803"/>
  <c r="I806"/>
  <c r="I810"/>
  <c r="I811"/>
  <c r="I814"/>
  <c r="I818"/>
  <c r="I819"/>
  <c r="I822"/>
  <c r="I826"/>
  <c r="I827"/>
  <c r="I830"/>
  <c r="I834"/>
  <c r="I835"/>
  <c r="I838"/>
  <c r="I842"/>
  <c r="I843"/>
  <c r="I846"/>
  <c r="I850"/>
  <c r="I851"/>
  <c r="I854"/>
  <c r="I858"/>
  <c r="I859"/>
  <c r="I862"/>
  <c r="I866"/>
  <c r="I867"/>
  <c r="I870"/>
  <c r="I874"/>
  <c r="I875"/>
  <c r="I878"/>
  <c r="I882"/>
  <c r="I883"/>
  <c r="I886"/>
  <c r="I890"/>
  <c r="I891"/>
  <c r="I894"/>
  <c r="I898"/>
  <c r="I899"/>
  <c r="I902"/>
  <c r="I906"/>
  <c r="I907"/>
  <c r="I910"/>
  <c r="I914"/>
  <c r="I915"/>
  <c r="I918"/>
  <c r="I922"/>
  <c r="I923"/>
  <c r="I926"/>
  <c r="I930"/>
  <c r="I931"/>
  <c r="I934"/>
  <c r="I938"/>
  <c r="I939"/>
  <c r="I942"/>
  <c r="I946"/>
  <c r="I947"/>
  <c r="I950"/>
  <c r="I954"/>
  <c r="I955"/>
  <c r="I958"/>
  <c r="I962"/>
  <c r="I963"/>
  <c r="I966"/>
  <c r="I970"/>
  <c r="I971"/>
  <c r="I974"/>
  <c r="I978"/>
  <c r="I979"/>
  <c r="I982"/>
  <c r="I986"/>
  <c r="I987"/>
  <c r="I990"/>
  <c r="I994"/>
  <c r="I995"/>
  <c r="I998"/>
  <c r="I1002"/>
  <c r="I1003"/>
  <c r="I1006"/>
  <c r="I1010"/>
  <c r="I1011"/>
  <c r="I1014"/>
  <c r="I1018"/>
  <c r="I1019"/>
  <c r="I1022"/>
  <c r="I1026"/>
  <c r="I1027"/>
  <c r="I1030"/>
  <c r="I1034"/>
  <c r="I1035"/>
  <c r="I1038"/>
  <c r="I1042"/>
  <c r="I1043"/>
  <c r="I1046"/>
  <c r="I1050"/>
  <c r="I1051"/>
  <c r="I1054"/>
  <c r="I1058"/>
  <c r="I1059"/>
  <c r="I1062"/>
  <c r="I1066"/>
  <c r="I1067"/>
  <c r="I1070"/>
  <c r="I1074"/>
  <c r="I1075"/>
  <c r="I1078"/>
  <c r="I1082"/>
  <c r="I1083"/>
  <c r="I1086"/>
  <c r="I1090"/>
  <c r="I1091"/>
  <c r="I1094"/>
  <c r="I1098"/>
  <c r="I1099"/>
  <c r="I1102"/>
  <c r="I1106"/>
  <c r="I1107"/>
  <c r="I1110"/>
  <c r="I1114"/>
  <c r="I1115"/>
  <c r="I1118"/>
  <c r="I1122"/>
  <c r="I1123"/>
  <c r="I1126"/>
  <c r="I1130"/>
  <c r="I1131"/>
  <c r="I1134"/>
  <c r="I1138"/>
  <c r="I1139"/>
  <c r="I1142"/>
  <c r="I1146"/>
  <c r="I1147"/>
  <c r="I1150"/>
  <c r="I1158"/>
  <c r="I1160"/>
  <c r="I1161"/>
  <c r="I1162"/>
  <c r="I1165"/>
  <c r="I1166"/>
  <c r="I1170"/>
  <c r="I1174"/>
  <c r="I1176"/>
  <c r="I1177"/>
  <c r="I1178"/>
  <c r="I1181"/>
  <c r="I1189"/>
  <c r="I1197"/>
  <c r="I1205"/>
  <c r="I1213"/>
  <c r="I1221"/>
  <c r="I1230"/>
  <c r="I1233"/>
  <c r="I1234"/>
  <c r="I1238"/>
  <c r="I1239"/>
  <c r="I1246"/>
  <c r="I1249"/>
  <c r="I1250"/>
  <c r="I1254"/>
  <c r="I1255"/>
  <c r="I1262"/>
  <c r="I1265"/>
  <c r="I1266"/>
  <c r="G1259"/>
  <c r="G1257"/>
  <c r="G1256"/>
  <c r="G1255"/>
  <c r="G1254"/>
  <c r="G1250"/>
  <c r="G1242"/>
  <c r="G1233"/>
  <c r="G1224"/>
  <c r="G1223"/>
  <c r="G1216"/>
  <c r="G1215"/>
  <c r="G1209"/>
  <c r="G1202"/>
  <c r="G1198"/>
  <c r="G1197"/>
  <c r="G1171"/>
  <c r="G1169"/>
  <c r="G1166"/>
  <c r="G1162"/>
  <c r="G1161"/>
  <c r="G1160"/>
  <c r="G1156"/>
  <c r="G1155"/>
  <c r="G1154"/>
  <c r="G1153"/>
  <c r="G1152"/>
  <c r="G1151"/>
  <c r="G1150"/>
  <c r="G1141"/>
  <c r="G1140"/>
  <c r="G1139"/>
  <c r="G1138"/>
  <c r="G1136"/>
  <c r="G1130"/>
  <c r="G1128"/>
  <c r="G1127"/>
  <c r="G1126"/>
  <c r="G1125"/>
  <c r="G1124"/>
  <c r="G1118"/>
  <c r="G1117"/>
  <c r="G1116"/>
  <c r="G1115"/>
  <c r="G1114"/>
  <c r="G1111"/>
  <c r="G1108"/>
  <c r="G1103"/>
  <c r="G1099"/>
  <c r="G1096"/>
  <c r="G1093"/>
  <c r="G1086"/>
  <c r="G1085"/>
  <c r="G1084"/>
  <c r="G1083"/>
  <c r="G1082"/>
  <c r="G1081"/>
  <c r="G1080"/>
  <c r="G1079"/>
  <c r="G1078"/>
  <c r="G1077"/>
  <c r="G1076"/>
  <c r="G1071"/>
  <c r="G1070"/>
  <c r="G1067"/>
  <c r="G1059"/>
  <c r="G1058"/>
  <c r="G1056"/>
  <c r="G1049"/>
  <c r="G1045"/>
  <c r="G1043"/>
  <c r="G1042"/>
  <c r="G1040"/>
  <c r="G1039"/>
  <c r="G1032"/>
  <c r="G1030"/>
  <c r="G1029"/>
  <c r="G1028"/>
  <c r="G1027"/>
  <c r="G1025"/>
  <c r="G1024"/>
  <c r="G1023"/>
  <c r="G1021"/>
  <c r="G1014"/>
  <c r="G995"/>
  <c r="G994"/>
  <c r="G993"/>
  <c r="G991"/>
  <c r="G989"/>
  <c r="G988"/>
  <c r="G986"/>
  <c r="G933"/>
  <c r="G932"/>
  <c r="G931"/>
  <c r="G930"/>
  <c r="G924"/>
  <c r="G922"/>
  <c r="G921"/>
  <c r="G911"/>
  <c r="G909"/>
  <c r="G908"/>
  <c r="G907"/>
  <c r="G906"/>
  <c r="G905"/>
  <c r="G902"/>
  <c r="G900"/>
  <c r="G893"/>
  <c r="G890"/>
  <c r="G889"/>
  <c r="G888"/>
  <c r="G886"/>
  <c r="G882"/>
  <c r="G881"/>
  <c r="G872"/>
  <c r="G871"/>
  <c r="G867"/>
  <c r="G866"/>
  <c r="G865"/>
  <c r="G863"/>
  <c r="G862"/>
  <c r="G859"/>
  <c r="G853"/>
  <c r="G851"/>
  <c r="G844"/>
  <c r="G840"/>
  <c r="G837"/>
  <c r="G834"/>
  <c r="G833"/>
  <c r="G804"/>
  <c r="G796"/>
  <c r="G793"/>
  <c r="G792"/>
  <c r="G791"/>
  <c r="G789"/>
  <c r="G787"/>
  <c r="G786"/>
  <c r="G784"/>
  <c r="G783"/>
  <c r="G782"/>
  <c r="G776"/>
  <c r="G774"/>
  <c r="G772"/>
  <c r="G763"/>
  <c r="G749"/>
  <c r="G748"/>
  <c r="G744"/>
  <c r="G740"/>
  <c r="G734"/>
  <c r="G733"/>
  <c r="G725"/>
  <c r="G723"/>
  <c r="G719"/>
  <c r="G716"/>
  <c r="G707"/>
  <c r="G705"/>
  <c r="G704"/>
  <c r="G702"/>
  <c r="G700"/>
  <c r="G697"/>
  <c r="G684"/>
  <c r="G681"/>
  <c r="G680"/>
  <c r="G679"/>
  <c r="G678"/>
  <c r="G677"/>
  <c r="G676"/>
  <c r="G675"/>
  <c r="G671"/>
  <c r="G667"/>
  <c r="G663"/>
  <c r="G662"/>
  <c r="G661"/>
  <c r="G644"/>
  <c r="G635"/>
  <c r="G634"/>
  <c r="G633"/>
  <c r="G629"/>
  <c r="G627"/>
  <c r="G623"/>
  <c r="G620"/>
  <c r="G616"/>
  <c r="G609"/>
  <c r="G606"/>
  <c r="G605"/>
  <c r="G586"/>
  <c r="G578"/>
  <c r="G577"/>
  <c r="G570"/>
  <c r="G568"/>
  <c r="G567"/>
  <c r="G566"/>
  <c r="G565"/>
  <c r="G563"/>
  <c r="G560"/>
  <c r="G559"/>
  <c r="G558"/>
  <c r="G552"/>
  <c r="G549"/>
  <c r="G548"/>
  <c r="G546"/>
  <c r="G545"/>
  <c r="G543"/>
  <c r="G541"/>
  <c r="G540"/>
  <c r="G538"/>
  <c r="G537"/>
  <c r="G535"/>
  <c r="G530"/>
  <c r="G528"/>
  <c r="G527"/>
  <c r="G517"/>
  <c r="G516"/>
  <c r="G515"/>
  <c r="G513"/>
  <c r="G510"/>
  <c r="G509"/>
  <c r="G508"/>
  <c r="G506"/>
  <c r="G505"/>
  <c r="G497"/>
  <c r="G492"/>
  <c r="G489"/>
  <c r="G483"/>
  <c r="G475"/>
  <c r="G473"/>
  <c r="G468"/>
  <c r="G457"/>
  <c r="G454"/>
  <c r="G442"/>
  <c r="G441"/>
  <c r="G434"/>
  <c r="G433"/>
  <c r="G432"/>
  <c r="G431"/>
  <c r="G428"/>
  <c r="G427"/>
  <c r="G426"/>
  <c r="G422"/>
  <c r="G417"/>
  <c r="G411"/>
  <c r="G407"/>
  <c r="G402"/>
  <c r="G401"/>
  <c r="G400"/>
  <c r="G393"/>
  <c r="G391"/>
  <c r="G389"/>
  <c r="G388"/>
  <c r="G387"/>
  <c r="G386"/>
  <c r="G384"/>
  <c r="G383"/>
  <c r="G382"/>
  <c r="G381"/>
  <c r="G380"/>
  <c r="G379"/>
  <c r="G375"/>
  <c r="G374"/>
  <c r="G373"/>
  <c r="G369"/>
  <c r="G366"/>
  <c r="G365"/>
  <c r="G357"/>
  <c r="G348"/>
  <c r="G346"/>
  <c r="G345"/>
  <c r="G344"/>
  <c r="G343"/>
  <c r="G327"/>
  <c r="G325"/>
  <c r="G324"/>
  <c r="G323"/>
  <c r="G304"/>
  <c r="G298"/>
  <c r="G261"/>
  <c r="G260"/>
  <c r="G256"/>
  <c r="G235"/>
  <c r="G232"/>
  <c r="G230"/>
  <c r="G224"/>
  <c r="G223"/>
  <c r="G222"/>
  <c r="G221"/>
  <c r="G219"/>
  <c r="G218"/>
  <c r="G213"/>
  <c r="G212"/>
  <c r="G209"/>
  <c r="G205"/>
  <c r="G201"/>
  <c r="G200"/>
  <c r="G197"/>
  <c r="G196"/>
  <c r="G193"/>
  <c r="G192"/>
  <c r="G172"/>
  <c r="G171"/>
  <c r="G170"/>
  <c r="G168"/>
  <c r="G166"/>
  <c r="G165"/>
  <c r="G164"/>
  <c r="G162"/>
  <c r="G161"/>
  <c r="G160"/>
  <c r="G159"/>
  <c r="G151"/>
  <c r="G149"/>
  <c r="G147"/>
  <c r="G146"/>
  <c r="G144"/>
  <c r="G143"/>
  <c r="G142"/>
  <c r="G141"/>
  <c r="G128"/>
  <c r="G127"/>
  <c r="G126"/>
  <c r="G124"/>
  <c r="G123"/>
  <c r="G122"/>
  <c r="G119"/>
  <c r="G118"/>
  <c r="G114"/>
  <c r="G111"/>
  <c r="G106"/>
  <c r="G103"/>
  <c r="G101"/>
  <c r="G99"/>
  <c r="G98"/>
  <c r="G97"/>
  <c r="G96"/>
  <c r="G81"/>
  <c r="G79"/>
  <c r="G78"/>
  <c r="G74"/>
  <c r="G73"/>
  <c r="G71"/>
  <c r="G69"/>
  <c r="G68"/>
  <c r="G66"/>
  <c r="G63"/>
  <c r="G62"/>
  <c r="G61"/>
  <c r="G52"/>
  <c r="G51"/>
  <c r="G47"/>
  <c r="G46"/>
  <c r="G45"/>
  <c r="G44"/>
  <c r="G43"/>
  <c r="G42"/>
  <c r="G39"/>
  <c r="G38"/>
  <c r="G34"/>
  <c r="G33"/>
  <c r="G29"/>
  <c r="G27"/>
  <c r="G22"/>
  <c r="G18"/>
  <c r="G17"/>
  <c r="G16"/>
  <c r="G14"/>
  <c r="G11"/>
  <c r="G9"/>
  <c r="G8"/>
  <c r="G7"/>
  <c r="G6"/>
</calcChain>
</file>

<file path=xl/sharedStrings.xml><?xml version="1.0" encoding="utf-8"?>
<sst xmlns="http://schemas.openxmlformats.org/spreadsheetml/2006/main" count="3636" uniqueCount="308">
  <si>
    <t>№</t>
  </si>
  <si>
    <t>Раскрой</t>
  </si>
  <si>
    <t>Остаток, (тн)</t>
  </si>
  <si>
    <t>Прим.</t>
  </si>
  <si>
    <t>круг</t>
  </si>
  <si>
    <t>3910+</t>
  </si>
  <si>
    <t>ков</t>
  </si>
  <si>
    <t>2630+</t>
  </si>
  <si>
    <t>хт</t>
  </si>
  <si>
    <t>1790+</t>
  </si>
  <si>
    <t>980+</t>
  </si>
  <si>
    <t>4510+</t>
  </si>
  <si>
    <t>4530+</t>
  </si>
  <si>
    <t>2200+</t>
  </si>
  <si>
    <t>105+</t>
  </si>
  <si>
    <t>05КП</t>
  </si>
  <si>
    <t>07Х3ГНМ</t>
  </si>
  <si>
    <t>08Х17</t>
  </si>
  <si>
    <t>08Х17Т</t>
  </si>
  <si>
    <t>3030+</t>
  </si>
  <si>
    <t>3590+</t>
  </si>
  <si>
    <t>2865+</t>
  </si>
  <si>
    <t>1890+</t>
  </si>
  <si>
    <t>1365+</t>
  </si>
  <si>
    <t>2435+</t>
  </si>
  <si>
    <t>2355+</t>
  </si>
  <si>
    <t>2750+</t>
  </si>
  <si>
    <t>2680+</t>
  </si>
  <si>
    <t>2645+</t>
  </si>
  <si>
    <t>2800+</t>
  </si>
  <si>
    <t>08Х18Н9Т</t>
  </si>
  <si>
    <t>08Х2Г2Ф</t>
  </si>
  <si>
    <t>09Г2</t>
  </si>
  <si>
    <t>09Г2С</t>
  </si>
  <si>
    <t>ков.</t>
  </si>
  <si>
    <t>0ХН1М</t>
  </si>
  <si>
    <t>0ХН3ВФА</t>
  </si>
  <si>
    <t>0ХН3М</t>
  </si>
  <si>
    <t>0ХН3МА</t>
  </si>
  <si>
    <t xml:space="preserve">10Г </t>
  </si>
  <si>
    <t>10Г21МП</t>
  </si>
  <si>
    <t>10Х23Н18</t>
  </si>
  <si>
    <t>11Х13Н3</t>
  </si>
  <si>
    <t>12М5Ф3СЮ</t>
  </si>
  <si>
    <t>12Х13</t>
  </si>
  <si>
    <t>12Х18Н10Т</t>
  </si>
  <si>
    <t>12Х2Н2ВФА</t>
  </si>
  <si>
    <t>12Х2Н4А</t>
  </si>
  <si>
    <t>12Х2НВФА</t>
  </si>
  <si>
    <t>12ХН</t>
  </si>
  <si>
    <t>12ХН2</t>
  </si>
  <si>
    <t>12ХН2А</t>
  </si>
  <si>
    <t>2660+</t>
  </si>
  <si>
    <t>12ХН3А</t>
  </si>
  <si>
    <t>обточ</t>
  </si>
  <si>
    <t>15Г</t>
  </si>
  <si>
    <t xml:space="preserve">15Х </t>
  </si>
  <si>
    <t>15Х2ВФ</t>
  </si>
  <si>
    <t>15Х3МФ</t>
  </si>
  <si>
    <t>17Г1С</t>
  </si>
  <si>
    <t>18Х13Н3</t>
  </si>
  <si>
    <t>18Х2Н4ВА</t>
  </si>
  <si>
    <t>18ХГТ</t>
  </si>
  <si>
    <t>19Х18</t>
  </si>
  <si>
    <t>20Х</t>
  </si>
  <si>
    <t>20Х13</t>
  </si>
  <si>
    <t>20Х13-Ш</t>
  </si>
  <si>
    <t>20Х2Н4А</t>
  </si>
  <si>
    <t>20Х3МГ</t>
  </si>
  <si>
    <t>20ХГСА</t>
  </si>
  <si>
    <t>20ХМ</t>
  </si>
  <si>
    <t xml:space="preserve">20ХН2М </t>
  </si>
  <si>
    <t>20ХН2МА</t>
  </si>
  <si>
    <t>20ХН3А</t>
  </si>
  <si>
    <t>20ХС</t>
  </si>
  <si>
    <t>25ГС</t>
  </si>
  <si>
    <t>25Х1МФ</t>
  </si>
  <si>
    <t>3040+</t>
  </si>
  <si>
    <t>25ХГСА</t>
  </si>
  <si>
    <t>25ХГТ</t>
  </si>
  <si>
    <t>25ХСНВФА</t>
  </si>
  <si>
    <t>30Х</t>
  </si>
  <si>
    <t>30Х13</t>
  </si>
  <si>
    <t>30Х2ГСН2ВМ</t>
  </si>
  <si>
    <t>30ХГСА</t>
  </si>
  <si>
    <t>30ХГТ</t>
  </si>
  <si>
    <t>30ХН2МА</t>
  </si>
  <si>
    <t>30ХН3А</t>
  </si>
  <si>
    <t>30ХН3М2ФА</t>
  </si>
  <si>
    <t>30ХНМ</t>
  </si>
  <si>
    <t>30ХНМФА</t>
  </si>
  <si>
    <t>34ХН1ВА</t>
  </si>
  <si>
    <t>34ХН3М</t>
  </si>
  <si>
    <t>2450+</t>
  </si>
  <si>
    <t>2350+</t>
  </si>
  <si>
    <t>34ХН3МА</t>
  </si>
  <si>
    <t>35Х</t>
  </si>
  <si>
    <t>35Х3НМ</t>
  </si>
  <si>
    <t>2207+</t>
  </si>
  <si>
    <t>35ХГСА</t>
  </si>
  <si>
    <t>35ХН3А</t>
  </si>
  <si>
    <t>38Х2МЮА</t>
  </si>
  <si>
    <t>38Х2Н2МА</t>
  </si>
  <si>
    <t>38ХМ</t>
  </si>
  <si>
    <t>38ХН2МА</t>
  </si>
  <si>
    <t>38ХН2МЮА</t>
  </si>
  <si>
    <t>38ХН3МА</t>
  </si>
  <si>
    <t>38ХН3МФА</t>
  </si>
  <si>
    <t>38ХС</t>
  </si>
  <si>
    <t>38ХЮ</t>
  </si>
  <si>
    <t>3СП</t>
  </si>
  <si>
    <t>3Х2В8Ф</t>
  </si>
  <si>
    <t>3Х3ВМФ</t>
  </si>
  <si>
    <t>3Х3М3Ф</t>
  </si>
  <si>
    <t>40Г</t>
  </si>
  <si>
    <t>3600+</t>
  </si>
  <si>
    <t>40Х</t>
  </si>
  <si>
    <t>40Х13</t>
  </si>
  <si>
    <t>40Х2Н2МА</t>
  </si>
  <si>
    <t>40Х2Н4МА</t>
  </si>
  <si>
    <t>40ХГНМ</t>
  </si>
  <si>
    <t>40ХН</t>
  </si>
  <si>
    <t>40ХН2МА</t>
  </si>
  <si>
    <t>40ХН2СМА-ВД</t>
  </si>
  <si>
    <t>3300+</t>
  </si>
  <si>
    <t>3020+</t>
  </si>
  <si>
    <t>4570+</t>
  </si>
  <si>
    <t>40ХН3МА</t>
  </si>
  <si>
    <t>45Г</t>
  </si>
  <si>
    <t>45Х2Н2МА</t>
  </si>
  <si>
    <t>45ХН</t>
  </si>
  <si>
    <t>45ХН2МФА</t>
  </si>
  <si>
    <t>45ХН3МА</t>
  </si>
  <si>
    <t>4Х4ВМФ</t>
  </si>
  <si>
    <t>4Х5МФС</t>
  </si>
  <si>
    <t>4ХВ2С</t>
  </si>
  <si>
    <t>50Г</t>
  </si>
  <si>
    <t>50С2А</t>
  </si>
  <si>
    <t>54ПП</t>
  </si>
  <si>
    <t>55С2А</t>
  </si>
  <si>
    <t>5ПС</t>
  </si>
  <si>
    <t>5100+</t>
  </si>
  <si>
    <t>5ХВ2С</t>
  </si>
  <si>
    <t>3360+</t>
  </si>
  <si>
    <t>5ХВ2СФ</t>
  </si>
  <si>
    <t>3330+</t>
  </si>
  <si>
    <t>5ХНВ</t>
  </si>
  <si>
    <t>5ХНМ</t>
  </si>
  <si>
    <t>60С2А</t>
  </si>
  <si>
    <t>60С2ГА</t>
  </si>
  <si>
    <t>60ХГ</t>
  </si>
  <si>
    <t>65Г</t>
  </si>
  <si>
    <t>6ХВ2С</t>
  </si>
  <si>
    <t>2585+</t>
  </si>
  <si>
    <t>7Х3</t>
  </si>
  <si>
    <t>3860+</t>
  </si>
  <si>
    <t>3560+</t>
  </si>
  <si>
    <t>7ХГ2ВМФ</t>
  </si>
  <si>
    <t>2060+</t>
  </si>
  <si>
    <t>9Х1</t>
  </si>
  <si>
    <t>9ХС</t>
  </si>
  <si>
    <t>А12</t>
  </si>
  <si>
    <t>2222+</t>
  </si>
  <si>
    <t>Р18</t>
  </si>
  <si>
    <t>Р6М5</t>
  </si>
  <si>
    <t>5000+</t>
  </si>
  <si>
    <t>СП33ВД</t>
  </si>
  <si>
    <t>1430+</t>
  </si>
  <si>
    <t>У10А</t>
  </si>
  <si>
    <t>2955+</t>
  </si>
  <si>
    <t>У7А</t>
  </si>
  <si>
    <t>1900+</t>
  </si>
  <si>
    <t>У8</t>
  </si>
  <si>
    <t>У8А</t>
  </si>
  <si>
    <t>2100+</t>
  </si>
  <si>
    <t>У9А</t>
  </si>
  <si>
    <t>Х12М</t>
  </si>
  <si>
    <t>Х12МФ</t>
  </si>
  <si>
    <t>Х6ВФ</t>
  </si>
  <si>
    <t>ХВГ</t>
  </si>
  <si>
    <t>ХГС</t>
  </si>
  <si>
    <t>Чугун СЧ20</t>
  </si>
  <si>
    <t>ШХ15</t>
  </si>
  <si>
    <t>ШХ15СГ</t>
  </si>
  <si>
    <t>3305+</t>
  </si>
  <si>
    <t>ЭИ790</t>
  </si>
  <si>
    <t>2410+</t>
  </si>
  <si>
    <t>2340+</t>
  </si>
  <si>
    <t>2360+</t>
  </si>
  <si>
    <t>ЭК105</t>
  </si>
  <si>
    <t>1800+</t>
  </si>
  <si>
    <t>08ПС</t>
  </si>
  <si>
    <t>30Г</t>
  </si>
  <si>
    <t>10ПС</t>
  </si>
  <si>
    <t>Х2М1Ф</t>
  </si>
  <si>
    <t>г/к</t>
  </si>
  <si>
    <t>Р6М5ФЗ</t>
  </si>
  <si>
    <t>3420+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</si>
  <si>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</si>
  <si>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</si>
  <si>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</si>
  <si>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</si>
  <si>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г/к/ха</t>
  </si>
  <si>
    <t>5700+</t>
  </si>
  <si>
    <t>!г/к</t>
  </si>
  <si>
    <t>строг.</t>
  </si>
  <si>
    <t>08Х13</t>
  </si>
  <si>
    <t>Р9</t>
  </si>
  <si>
    <t>25Г2А</t>
  </si>
  <si>
    <t>4Х5В2ФС (ЭИ958)</t>
  </si>
  <si>
    <t>0ХН1В</t>
  </si>
  <si>
    <t>20ХН2М</t>
  </si>
  <si>
    <t>30ХС</t>
  </si>
  <si>
    <t>40ХС</t>
  </si>
  <si>
    <t>13ДХГНМФ</t>
  </si>
  <si>
    <t>37ХН3А</t>
  </si>
  <si>
    <t>4Х4ВМФС (ДИ22)</t>
  </si>
  <si>
    <t>95Х18 (ЭИ229)</t>
  </si>
  <si>
    <t>х/т</t>
  </si>
  <si>
    <t>литой</t>
  </si>
  <si>
    <t>10880 (Э10)</t>
  </si>
  <si>
    <t>38ХН3ВА</t>
  </si>
  <si>
    <t>8ХФ</t>
  </si>
  <si>
    <t>ЭИ736 (13Х14Н3В2ФР)</t>
  </si>
  <si>
    <t>ЭК42 (9Х4М3Ф2АГСТ)</t>
  </si>
  <si>
    <t>8Х4В2МФС2 (ЭП761)</t>
  </si>
  <si>
    <t>Цена до 5 тн, руб/тн с НДС</t>
  </si>
  <si>
    <t>Цена свыше 5 тн, руб/тн с НДС</t>
  </si>
  <si>
    <t>Цена до 1 тн, руб/тн с НДС</t>
  </si>
  <si>
    <t>3ПС</t>
  </si>
  <si>
    <t>15ПС</t>
  </si>
  <si>
    <t>15Х5М</t>
  </si>
  <si>
    <t>20ХМА</t>
  </si>
  <si>
    <t>25Х2М1Ф</t>
  </si>
  <si>
    <t xml:space="preserve">30Х </t>
  </si>
  <si>
    <t>14Х17Н2 (ЭИ268)</t>
  </si>
  <si>
    <t>4Х2В5МФ (ЭИ959)</t>
  </si>
  <si>
    <t>11Х11Н2В2МФ-Ш (ЭИ962-Ш)</t>
  </si>
  <si>
    <t>18Х2Н4МА</t>
  </si>
  <si>
    <t>4Х5МФ1С (ЭП572)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</si>
  <si>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</si>
  <si>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</si>
  <si>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33ХС</t>
  </si>
  <si>
    <t xml:space="preserve">20Х </t>
  </si>
  <si>
    <t>25Х13Н2 (ЭИ474)</t>
  </si>
  <si>
    <t>25ХГМ</t>
  </si>
  <si>
    <t>36Г2С</t>
  </si>
  <si>
    <t>38Х2Н4МА</t>
  </si>
  <si>
    <t>65С2ВА</t>
  </si>
  <si>
    <t>6Х3МФС (ЭП788)</t>
  </si>
  <si>
    <t>6Х4М2ФС (ДИ55)</t>
  </si>
  <si>
    <t>В2Ф</t>
  </si>
  <si>
    <t>Х12ВМ</t>
  </si>
  <si>
    <t>г/к!</t>
  </si>
  <si>
    <t>обточ.</t>
  </si>
  <si>
    <t>серебр</t>
  </si>
  <si>
    <t>м/о</t>
  </si>
  <si>
    <t>строг</t>
  </si>
  <si>
    <t>г/к, черн.</t>
  </si>
  <si>
    <t>!</t>
  </si>
  <si>
    <t>обт.</t>
  </si>
  <si>
    <t xml:space="preserve">ков </t>
  </si>
  <si>
    <t>серебрянка</t>
  </si>
  <si>
    <t>18ХГ</t>
  </si>
  <si>
    <t>У8А-СШ</t>
  </si>
  <si>
    <t>05Х12Н6Д2МФ (ДИ80)</t>
  </si>
  <si>
    <t>32Г2С</t>
  </si>
  <si>
    <t>13ХФА</t>
  </si>
  <si>
    <t>25Х17Н2Б-Ш</t>
  </si>
  <si>
    <t>По запросу</t>
  </si>
  <si>
    <t>08Х22Н6Т(ЭП53)</t>
  </si>
  <si>
    <t>07Х16Н6 (ЭП288)</t>
  </si>
  <si>
    <t>08Х18Н10Т (ЭИ914)</t>
  </si>
  <si>
    <t xml:space="preserve">09Г2 </t>
  </si>
  <si>
    <t>10Г2</t>
  </si>
  <si>
    <t>13Х11Н2В2МФ-Ш (ЭИ961-Ш)</t>
  </si>
  <si>
    <t>50ХГ</t>
  </si>
  <si>
    <t>6Х6В3МФС (ЭП569)</t>
  </si>
  <si>
    <t>У8Г</t>
  </si>
  <si>
    <t>обт</t>
  </si>
  <si>
    <t>гк</t>
  </si>
  <si>
    <t>1Х9В6 (ЭП572)</t>
  </si>
  <si>
    <t>25Х3СНМВ</t>
  </si>
  <si>
    <t>30Х3НМА</t>
  </si>
  <si>
    <t>30ХВ</t>
  </si>
  <si>
    <t>40ХГ</t>
  </si>
  <si>
    <t>07Х16Н6Ш (ЭП288)</t>
  </si>
  <si>
    <t>09Х16Н4Б-Ш (ЭП56-Ш)</t>
  </si>
  <si>
    <t>120Г13Л (ЭИ256)</t>
  </si>
  <si>
    <t>20Х5МЛ</t>
  </si>
  <si>
    <t>35Г</t>
  </si>
  <si>
    <t>60Г</t>
  </si>
  <si>
    <t>07Х3ГНМЮА-Ш</t>
  </si>
  <si>
    <t>12Х1МФ</t>
  </si>
  <si>
    <t>12Х18Н9Т</t>
  </si>
  <si>
    <t xml:space="preserve">12Х18Н10Т </t>
  </si>
  <si>
    <t>12Х18Н10Т ВД</t>
  </si>
  <si>
    <t>12Х18Н12Т</t>
  </si>
  <si>
    <t>12Х21Н5Т (ЭИ811)</t>
  </si>
  <si>
    <t>18Г2С</t>
  </si>
  <si>
    <t>20Х17Н2</t>
  </si>
  <si>
    <t>37Х12Н8Г8МФБ (ЭИ481)</t>
  </si>
  <si>
    <t>95Х18-Ш (ЭИ229-Ш)</t>
  </si>
  <si>
    <t>У10</t>
  </si>
  <si>
    <t>Х12Ф1</t>
  </si>
  <si>
    <t>г\к</t>
  </si>
  <si>
    <t>ободр</t>
  </si>
  <si>
    <t>г/к-п/б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</si>
</sst>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3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i/>
      <sz val="9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8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 applyFill="1"/>
    <xf numFmtId="0" fontId="0" fillId="0" borderId="0" xfId="0" applyFill="1"/>
    <xf numFmtId="0" fontId="20" fillId="0" borderId="0" xfId="0" applyFont="1" applyFill="1"/>
    <xf numFmtId="0" fontId="18" fillId="0" borderId="0" xfId="0" applyFont="1" applyFill="1" applyAlignment="1">
      <alignment horizontal="center"/>
    </xf>
    <xf numFmtId="0" fontId="23" fillId="0" borderId="0" xfId="0" applyFont="1" applyFill="1"/>
    <xf numFmtId="0" fontId="20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/>
    <xf numFmtId="165" fontId="20" fillId="0" borderId="0" xfId="0" applyNumberFormat="1" applyFont="1" applyFill="1" applyAlignment="1">
      <alignment horizontal="center"/>
    </xf>
    <xf numFmtId="0" fontId="19" fillId="0" borderId="0" xfId="0" applyFont="1"/>
    <xf numFmtId="164" fontId="18" fillId="0" borderId="0" xfId="0" applyNumberFormat="1" applyFont="1" applyFill="1"/>
    <xf numFmtId="0" fontId="0" fillId="0" borderId="0" xfId="0" applyFill="1" applyBorder="1"/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8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0" fontId="20" fillId="25" borderId="0" xfId="0" applyFont="1" applyFill="1"/>
    <xf numFmtId="0" fontId="23" fillId="25" borderId="0" xfId="0" applyFont="1" applyFill="1"/>
    <xf numFmtId="0" fontId="18" fillId="25" borderId="0" xfId="0" applyFont="1" applyFill="1" applyAlignment="1">
      <alignment horizontal="center"/>
    </xf>
    <xf numFmtId="166" fontId="20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>
      <alignment horizontal="center" vertical="center" wrapText="1"/>
    </xf>
    <xf numFmtId="166" fontId="20" fillId="25" borderId="1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166" fontId="20" fillId="25" borderId="1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20" fillId="0" borderId="13" xfId="0" applyNumberFormat="1" applyFont="1" applyFill="1" applyBorder="1" applyAlignment="1">
      <alignment horizontal="center" vertical="center"/>
    </xf>
    <xf numFmtId="166" fontId="20" fillId="0" borderId="14" xfId="0" applyNumberFormat="1" applyFont="1" applyFill="1" applyBorder="1" applyAlignment="1">
      <alignment horizontal="center" vertical="center"/>
    </xf>
    <xf numFmtId="166" fontId="20" fillId="0" borderId="1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6" fontId="30" fillId="0" borderId="14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166" fontId="20" fillId="0" borderId="2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166" fontId="20" fillId="0" borderId="21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165" fontId="30" fillId="0" borderId="13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4" fontId="20" fillId="25" borderId="22" xfId="0" applyNumberFormat="1" applyFont="1" applyFill="1" applyBorder="1" applyAlignment="1">
      <alignment horizontal="center" vertical="center"/>
    </xf>
    <xf numFmtId="166" fontId="30" fillId="0" borderId="15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166" fontId="30" fillId="0" borderId="20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6" borderId="0" xfId="0" applyFont="1" applyFill="1" applyAlignment="1">
      <alignment horizontal="left" vertical="center" wrapText="1"/>
    </xf>
    <xf numFmtId="0" fontId="20" fillId="24" borderId="23" xfId="0" applyFont="1" applyFill="1" applyBorder="1" applyAlignment="1">
      <alignment horizontal="center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742950</xdr:colOff>
      <xdr:row>1</xdr:row>
      <xdr:rowOff>914400</xdr:rowOff>
    </xdr:to>
    <xdr:pic>
      <xdr:nvPicPr>
        <xdr:cNvPr id="157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</xdr:colOff>
      <xdr:row>1</xdr:row>
      <xdr:rowOff>142875</xdr:rowOff>
    </xdr:from>
    <xdr:to>
      <xdr:col>9</xdr:col>
      <xdr:colOff>647700</xdr:colOff>
      <xdr:row>1</xdr:row>
      <xdr:rowOff>495300</xdr:rowOff>
    </xdr:to>
    <xdr:sp macro="" textlink="">
      <xdr:nvSpPr>
        <xdr:cNvPr id="2" name="TextBox 1"/>
        <xdr:cNvSpPr txBox="1"/>
      </xdr:nvSpPr>
      <xdr:spPr>
        <a:xfrm>
          <a:off x="4086225" y="723900"/>
          <a:ext cx="35147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1"/>
  <sheetViews>
    <sheetView tabSelected="1" zoomScale="115" zoomScaleNormal="115" workbookViewId="0">
      <selection activeCell="A4" sqref="A4"/>
    </sheetView>
  </sheetViews>
  <sheetFormatPr defaultRowHeight="15.75"/>
  <cols>
    <col min="1" max="1" width="2.42578125" style="4" customWidth="1"/>
    <col min="2" max="2" width="7.42578125" style="6" bestFit="1" customWidth="1"/>
    <col min="3" max="3" width="29.28515625" style="4" bestFit="1" customWidth="1"/>
    <col min="4" max="4" width="12.140625" style="6" customWidth="1"/>
    <col min="5" max="5" width="11.85546875" style="7" customWidth="1"/>
    <col min="6" max="6" width="9.85546875" style="8" customWidth="1"/>
    <col min="7" max="7" width="10.28515625" style="9" customWidth="1"/>
    <col min="8" max="8" width="8.85546875" style="9" customWidth="1"/>
    <col min="9" max="9" width="12" style="27" customWidth="1"/>
    <col min="10" max="10" width="12.42578125" style="28" customWidth="1"/>
    <col min="11" max="11" width="12.42578125" style="39" customWidth="1"/>
    <col min="12" max="12" width="9.5703125" style="14" customWidth="1"/>
    <col min="13" max="16384" width="9.140625" style="3"/>
  </cols>
  <sheetData>
    <row r="1" spans="1:12" ht="45.75" customHeight="1"/>
    <row r="2" spans="1:12" ht="74.25" customHeight="1" thickBot="1"/>
    <row r="3" spans="1:12" ht="58.5" customHeight="1" thickBot="1">
      <c r="B3" s="87" t="s">
        <v>240</v>
      </c>
      <c r="C3" s="83"/>
      <c r="D3" s="83"/>
      <c r="E3" s="83"/>
      <c r="F3" s="83"/>
      <c r="G3" s="83"/>
      <c r="H3" s="83"/>
      <c r="I3" s="83"/>
      <c r="J3" s="83"/>
      <c r="K3" s="84"/>
      <c r="L3" s="65"/>
    </row>
    <row r="4" spans="1:12" ht="12" customHeight="1" thickBot="1">
      <c r="A4" s="42"/>
    </row>
    <row r="5" spans="1:12" customFormat="1" ht="63.75" customHeight="1" thickBot="1">
      <c r="A5" s="4"/>
      <c r="B5" s="34" t="s">
        <v>0</v>
      </c>
      <c r="C5" s="35" t="s">
        <v>198</v>
      </c>
      <c r="D5" s="35" t="s">
        <v>199</v>
      </c>
      <c r="E5" s="35" t="s">
        <v>200</v>
      </c>
      <c r="F5" s="36" t="s">
        <v>1</v>
      </c>
      <c r="G5" s="37" t="s">
        <v>2</v>
      </c>
      <c r="H5" s="72" t="s">
        <v>3</v>
      </c>
      <c r="I5" s="38" t="s">
        <v>228</v>
      </c>
      <c r="J5" s="38" t="s">
        <v>226</v>
      </c>
      <c r="K5" s="40" t="s">
        <v>227</v>
      </c>
      <c r="L5" s="14"/>
    </row>
    <row r="6" spans="1:12" ht="13.5" customHeight="1">
      <c r="B6" s="46">
        <v>1</v>
      </c>
      <c r="C6" s="51">
        <v>3</v>
      </c>
      <c r="D6" s="51" t="s">
        <v>4</v>
      </c>
      <c r="E6" s="51">
        <v>10</v>
      </c>
      <c r="F6" s="52">
        <v>4000</v>
      </c>
      <c r="G6" s="53">
        <f>0.025-0.003</f>
        <v>2.2000000000000002E-2</v>
      </c>
      <c r="H6" s="54" t="s">
        <v>195</v>
      </c>
      <c r="I6" s="44">
        <f t="shared" ref="I6:I69" si="0">J6+2000</f>
        <v>76500</v>
      </c>
      <c r="J6" s="47">
        <f>ROUNDUP(K6*1.07,-2)</f>
        <v>74500</v>
      </c>
      <c r="K6" s="55">
        <v>69600</v>
      </c>
      <c r="L6" s="3"/>
    </row>
    <row r="7" spans="1:12" ht="12" customHeight="1">
      <c r="B7" s="48">
        <v>2</v>
      </c>
      <c r="C7" s="56">
        <v>3</v>
      </c>
      <c r="D7" s="56" t="s">
        <v>4</v>
      </c>
      <c r="E7" s="56">
        <v>20</v>
      </c>
      <c r="F7" s="57">
        <v>3455</v>
      </c>
      <c r="G7" s="58">
        <f>0.155-0.019-0.019-0.009-0.044-0.02-0.009-0.02</f>
        <v>1.500000000000001E-2</v>
      </c>
      <c r="H7" s="59" t="s">
        <v>195</v>
      </c>
      <c r="I7" s="43">
        <f t="shared" si="0"/>
        <v>76500</v>
      </c>
      <c r="J7" s="49">
        <f t="shared" ref="J7:J70" si="1">ROUNDUP(K7*1.07,-2)</f>
        <v>74500</v>
      </c>
      <c r="K7" s="60">
        <v>69600</v>
      </c>
      <c r="L7" s="5"/>
    </row>
    <row r="8" spans="1:12" customFormat="1" ht="12" customHeight="1">
      <c r="A8" s="4"/>
      <c r="B8" s="48">
        <v>3</v>
      </c>
      <c r="C8" s="56">
        <v>3</v>
      </c>
      <c r="D8" s="56" t="s">
        <v>4</v>
      </c>
      <c r="E8" s="56">
        <v>38</v>
      </c>
      <c r="F8" s="57">
        <v>4600</v>
      </c>
      <c r="G8" s="58">
        <f>0.475-0.12</f>
        <v>0.35499999999999998</v>
      </c>
      <c r="H8" s="59" t="s">
        <v>195</v>
      </c>
      <c r="I8" s="43">
        <f t="shared" si="0"/>
        <v>76500</v>
      </c>
      <c r="J8" s="49">
        <f t="shared" si="1"/>
        <v>74500</v>
      </c>
      <c r="K8" s="60">
        <v>69600</v>
      </c>
    </row>
    <row r="9" spans="1:12" ht="12" customHeight="1">
      <c r="B9" s="48">
        <v>4</v>
      </c>
      <c r="C9" s="56">
        <v>3</v>
      </c>
      <c r="D9" s="56" t="s">
        <v>4</v>
      </c>
      <c r="E9" s="56">
        <v>38</v>
      </c>
      <c r="F9" s="57">
        <v>5850</v>
      </c>
      <c r="G9" s="58">
        <f>1.38-0.052-0.475</f>
        <v>0.85299999999999987</v>
      </c>
      <c r="H9" s="59" t="s">
        <v>195</v>
      </c>
      <c r="I9" s="43">
        <f t="shared" si="0"/>
        <v>76500</v>
      </c>
      <c r="J9" s="49">
        <f t="shared" si="1"/>
        <v>74500</v>
      </c>
      <c r="K9" s="60">
        <v>69600</v>
      </c>
      <c r="L9" s="3"/>
    </row>
    <row r="10" spans="1:12" ht="12" customHeight="1">
      <c r="B10" s="48">
        <v>5</v>
      </c>
      <c r="C10" s="56">
        <v>3</v>
      </c>
      <c r="D10" s="56" t="s">
        <v>4</v>
      </c>
      <c r="E10" s="56">
        <v>38</v>
      </c>
      <c r="F10" s="57">
        <v>5870</v>
      </c>
      <c r="G10" s="58">
        <v>0.52</v>
      </c>
      <c r="H10" s="59" t="s">
        <v>195</v>
      </c>
      <c r="I10" s="43">
        <f t="shared" si="0"/>
        <v>76500</v>
      </c>
      <c r="J10" s="49">
        <f t="shared" si="1"/>
        <v>74500</v>
      </c>
      <c r="K10" s="60">
        <v>69600</v>
      </c>
      <c r="L10" s="3"/>
    </row>
    <row r="11" spans="1:12" ht="12" customHeight="1">
      <c r="B11" s="48">
        <v>6</v>
      </c>
      <c r="C11" s="56">
        <v>3</v>
      </c>
      <c r="D11" s="56" t="s">
        <v>4</v>
      </c>
      <c r="E11" s="56">
        <v>42</v>
      </c>
      <c r="F11" s="57">
        <v>1180</v>
      </c>
      <c r="G11" s="58">
        <f>1.63-0.067-0.082-0.015-0.09-0.035-0.063-0.012-0.048-0.05</f>
        <v>1.1679999999999999</v>
      </c>
      <c r="H11" s="59" t="s">
        <v>195</v>
      </c>
      <c r="I11" s="43">
        <f t="shared" si="0"/>
        <v>76500</v>
      </c>
      <c r="J11" s="49">
        <f t="shared" si="1"/>
        <v>74500</v>
      </c>
      <c r="K11" s="60">
        <v>69600</v>
      </c>
      <c r="L11" s="3"/>
    </row>
    <row r="12" spans="1:12" ht="12" customHeight="1">
      <c r="B12" s="48">
        <v>7</v>
      </c>
      <c r="C12" s="56">
        <v>3</v>
      </c>
      <c r="D12" s="56" t="s">
        <v>4</v>
      </c>
      <c r="E12" s="56">
        <v>48</v>
      </c>
      <c r="F12" s="57" t="s">
        <v>5</v>
      </c>
      <c r="G12" s="58">
        <v>7.2999999999999995E-2</v>
      </c>
      <c r="H12" s="59" t="s">
        <v>195</v>
      </c>
      <c r="I12" s="43">
        <f t="shared" si="0"/>
        <v>76500</v>
      </c>
      <c r="J12" s="49">
        <f t="shared" si="1"/>
        <v>74500</v>
      </c>
      <c r="K12" s="60">
        <v>69600</v>
      </c>
      <c r="L12" s="3"/>
    </row>
    <row r="13" spans="1:12" ht="12" customHeight="1">
      <c r="B13" s="48">
        <v>8</v>
      </c>
      <c r="C13" s="56">
        <v>3</v>
      </c>
      <c r="D13" s="56" t="s">
        <v>4</v>
      </c>
      <c r="E13" s="56">
        <v>48</v>
      </c>
      <c r="F13" s="57">
        <v>5535</v>
      </c>
      <c r="G13" s="58">
        <v>7.8E-2</v>
      </c>
      <c r="H13" s="59" t="s">
        <v>195</v>
      </c>
      <c r="I13" s="43">
        <f t="shared" si="0"/>
        <v>76500</v>
      </c>
      <c r="J13" s="49">
        <f t="shared" si="1"/>
        <v>74500</v>
      </c>
      <c r="K13" s="60">
        <v>69600</v>
      </c>
      <c r="L13" s="3"/>
    </row>
    <row r="14" spans="1:12" ht="12" customHeight="1">
      <c r="B14" s="48">
        <v>9</v>
      </c>
      <c r="C14" s="56">
        <v>3</v>
      </c>
      <c r="D14" s="56" t="s">
        <v>4</v>
      </c>
      <c r="E14" s="56">
        <v>53</v>
      </c>
      <c r="F14" s="57">
        <v>4185</v>
      </c>
      <c r="G14" s="58">
        <f>0.67-0.11-0.105</f>
        <v>0.45500000000000007</v>
      </c>
      <c r="H14" s="59" t="s">
        <v>195</v>
      </c>
      <c r="I14" s="43">
        <f t="shared" si="0"/>
        <v>76500</v>
      </c>
      <c r="J14" s="49">
        <f t="shared" si="1"/>
        <v>74500</v>
      </c>
      <c r="K14" s="60">
        <v>69600</v>
      </c>
      <c r="L14" s="3"/>
    </row>
    <row r="15" spans="1:12" ht="12" customHeight="1">
      <c r="B15" s="48">
        <v>10</v>
      </c>
      <c r="C15" s="56">
        <v>3</v>
      </c>
      <c r="D15" s="56" t="s">
        <v>4</v>
      </c>
      <c r="E15" s="56">
        <v>56</v>
      </c>
      <c r="F15" s="57">
        <v>4100</v>
      </c>
      <c r="G15" s="58">
        <v>0.24</v>
      </c>
      <c r="H15" s="59" t="s">
        <v>195</v>
      </c>
      <c r="I15" s="43">
        <f t="shared" si="0"/>
        <v>76500</v>
      </c>
      <c r="J15" s="49">
        <f t="shared" si="1"/>
        <v>74500</v>
      </c>
      <c r="K15" s="60">
        <v>69600</v>
      </c>
      <c r="L15" s="5"/>
    </row>
    <row r="16" spans="1:12" ht="12" customHeight="1">
      <c r="B16" s="48">
        <v>11</v>
      </c>
      <c r="C16" s="56">
        <v>3</v>
      </c>
      <c r="D16" s="56" t="s">
        <v>4</v>
      </c>
      <c r="E16" s="56">
        <v>60</v>
      </c>
      <c r="F16" s="57">
        <v>1660</v>
      </c>
      <c r="G16" s="58">
        <f>0.805-0.049-0.045-0.266</f>
        <v>0.44499999999999995</v>
      </c>
      <c r="H16" s="59" t="s">
        <v>195</v>
      </c>
      <c r="I16" s="43">
        <f t="shared" si="0"/>
        <v>76500</v>
      </c>
      <c r="J16" s="49">
        <f t="shared" si="1"/>
        <v>74500</v>
      </c>
      <c r="K16" s="60">
        <v>69600</v>
      </c>
      <c r="L16" s="3"/>
    </row>
    <row r="17" spans="1:12" ht="12" customHeight="1">
      <c r="B17" s="48">
        <v>12</v>
      </c>
      <c r="C17" s="56">
        <v>3</v>
      </c>
      <c r="D17" s="56" t="s">
        <v>4</v>
      </c>
      <c r="E17" s="56">
        <v>64</v>
      </c>
      <c r="F17" s="57">
        <v>3140</v>
      </c>
      <c r="G17" s="58">
        <f>0.072+0.078-0.073</f>
        <v>7.6999999999999999E-2</v>
      </c>
      <c r="H17" s="59" t="s">
        <v>195</v>
      </c>
      <c r="I17" s="43">
        <f t="shared" si="0"/>
        <v>76500</v>
      </c>
      <c r="J17" s="49">
        <f t="shared" si="1"/>
        <v>74500</v>
      </c>
      <c r="K17" s="60">
        <v>69600</v>
      </c>
      <c r="L17" s="3"/>
    </row>
    <row r="18" spans="1:12" ht="12" customHeight="1">
      <c r="B18" s="48">
        <v>13</v>
      </c>
      <c r="C18" s="56">
        <v>3</v>
      </c>
      <c r="D18" s="56" t="s">
        <v>4</v>
      </c>
      <c r="E18" s="56">
        <v>65</v>
      </c>
      <c r="F18" s="57">
        <v>1710</v>
      </c>
      <c r="G18" s="58">
        <f>2.26-0.139-0.13-0.087-0.05-0.057-0.049</f>
        <v>1.7479999999999998</v>
      </c>
      <c r="H18" s="59" t="s">
        <v>195</v>
      </c>
      <c r="I18" s="43">
        <f t="shared" si="0"/>
        <v>76500</v>
      </c>
      <c r="J18" s="49">
        <f t="shared" si="1"/>
        <v>74500</v>
      </c>
      <c r="K18" s="60">
        <v>69600</v>
      </c>
      <c r="L18" s="3"/>
    </row>
    <row r="19" spans="1:12" ht="12" customHeight="1">
      <c r="B19" s="48">
        <v>14</v>
      </c>
      <c r="C19" s="56">
        <v>3</v>
      </c>
      <c r="D19" s="56" t="s">
        <v>4</v>
      </c>
      <c r="E19" s="56">
        <v>85</v>
      </c>
      <c r="F19" s="57">
        <v>4030</v>
      </c>
      <c r="G19" s="58">
        <v>0.36099999999999999</v>
      </c>
      <c r="H19" s="59" t="s">
        <v>195</v>
      </c>
      <c r="I19" s="43">
        <f t="shared" si="0"/>
        <v>70700</v>
      </c>
      <c r="J19" s="49">
        <f t="shared" si="1"/>
        <v>68700</v>
      </c>
      <c r="K19" s="60">
        <v>64200</v>
      </c>
      <c r="L19" s="3"/>
    </row>
    <row r="20" spans="1:12" ht="12" customHeight="1">
      <c r="B20" s="48">
        <v>15</v>
      </c>
      <c r="C20" s="56">
        <v>3</v>
      </c>
      <c r="D20" s="56" t="s">
        <v>4</v>
      </c>
      <c r="E20" s="56">
        <v>88</v>
      </c>
      <c r="F20" s="57">
        <v>1510</v>
      </c>
      <c r="G20" s="58">
        <v>7.3999999999999996E-2</v>
      </c>
      <c r="H20" s="59" t="s">
        <v>195</v>
      </c>
      <c r="I20" s="43">
        <f t="shared" si="0"/>
        <v>76500</v>
      </c>
      <c r="J20" s="49">
        <f t="shared" si="1"/>
        <v>74500</v>
      </c>
      <c r="K20" s="60">
        <v>69600</v>
      </c>
      <c r="L20" s="3"/>
    </row>
    <row r="21" spans="1:12" ht="12" customHeight="1">
      <c r="B21" s="48">
        <v>16</v>
      </c>
      <c r="C21" s="56">
        <v>3</v>
      </c>
      <c r="D21" s="56" t="s">
        <v>4</v>
      </c>
      <c r="E21" s="56">
        <v>167</v>
      </c>
      <c r="F21" s="57">
        <v>4900</v>
      </c>
      <c r="G21" s="58">
        <v>0.83699999999999997</v>
      </c>
      <c r="H21" s="59" t="s">
        <v>195</v>
      </c>
      <c r="I21" s="43">
        <f t="shared" si="0"/>
        <v>88000</v>
      </c>
      <c r="J21" s="49">
        <f t="shared" si="1"/>
        <v>86000</v>
      </c>
      <c r="K21" s="60">
        <v>80300</v>
      </c>
      <c r="L21" s="3"/>
    </row>
    <row r="22" spans="1:12" customFormat="1" ht="12" customHeight="1">
      <c r="A22" s="4"/>
      <c r="B22" s="48">
        <v>17</v>
      </c>
      <c r="C22" s="56" t="s">
        <v>229</v>
      </c>
      <c r="D22" s="56" t="s">
        <v>4</v>
      </c>
      <c r="E22" s="56">
        <v>20</v>
      </c>
      <c r="F22" s="57">
        <v>6000</v>
      </c>
      <c r="G22" s="58">
        <f>0.35-0.015-0.029-0.103-0.03-0.029-0.03-0.029</f>
        <v>8.4999999999999964E-2</v>
      </c>
      <c r="H22" s="59" t="s">
        <v>195</v>
      </c>
      <c r="I22" s="43">
        <f t="shared" si="0"/>
        <v>76500</v>
      </c>
      <c r="J22" s="49">
        <f t="shared" si="1"/>
        <v>74500</v>
      </c>
      <c r="K22" s="60">
        <v>69600</v>
      </c>
    </row>
    <row r="23" spans="1:12" ht="12" customHeight="1">
      <c r="B23" s="48">
        <v>18</v>
      </c>
      <c r="C23" s="56" t="s">
        <v>110</v>
      </c>
      <c r="D23" s="56" t="s">
        <v>4</v>
      </c>
      <c r="E23" s="56">
        <v>52</v>
      </c>
      <c r="F23" s="57">
        <v>5170</v>
      </c>
      <c r="G23" s="58">
        <v>9.2539999999999996</v>
      </c>
      <c r="H23" s="59" t="s">
        <v>305</v>
      </c>
      <c r="I23" s="43">
        <f t="shared" si="0"/>
        <v>76500</v>
      </c>
      <c r="J23" s="49">
        <f t="shared" si="1"/>
        <v>74500</v>
      </c>
      <c r="K23" s="60">
        <v>69600</v>
      </c>
      <c r="L23" s="3"/>
    </row>
    <row r="24" spans="1:12" ht="12" customHeight="1">
      <c r="B24" s="48">
        <v>19</v>
      </c>
      <c r="C24" s="56" t="s">
        <v>110</v>
      </c>
      <c r="D24" s="56" t="s">
        <v>4</v>
      </c>
      <c r="E24" s="56">
        <v>65</v>
      </c>
      <c r="F24" s="57">
        <v>5005</v>
      </c>
      <c r="G24" s="58">
        <v>0.68799999999999994</v>
      </c>
      <c r="H24" s="59" t="s">
        <v>305</v>
      </c>
      <c r="I24" s="43">
        <f t="shared" si="0"/>
        <v>76500</v>
      </c>
      <c r="J24" s="49">
        <f t="shared" si="1"/>
        <v>74500</v>
      </c>
      <c r="K24" s="60">
        <v>69600</v>
      </c>
      <c r="L24" s="3"/>
    </row>
    <row r="25" spans="1:12" ht="12" customHeight="1">
      <c r="B25" s="48">
        <v>20</v>
      </c>
      <c r="C25" s="56" t="s">
        <v>110</v>
      </c>
      <c r="D25" s="56" t="s">
        <v>4</v>
      </c>
      <c r="E25" s="56">
        <v>65</v>
      </c>
      <c r="F25" s="57">
        <v>5465</v>
      </c>
      <c r="G25" s="58">
        <v>3.0760000000000001</v>
      </c>
      <c r="H25" s="59" t="s">
        <v>305</v>
      </c>
      <c r="I25" s="43">
        <f t="shared" si="0"/>
        <v>76500</v>
      </c>
      <c r="J25" s="49">
        <f t="shared" si="1"/>
        <v>74500</v>
      </c>
      <c r="K25" s="60">
        <v>69600</v>
      </c>
      <c r="L25" s="3"/>
    </row>
    <row r="26" spans="1:12" ht="12" customHeight="1">
      <c r="B26" s="48">
        <v>21</v>
      </c>
      <c r="C26" s="56" t="s">
        <v>110</v>
      </c>
      <c r="D26" s="56" t="s">
        <v>4</v>
      </c>
      <c r="E26" s="56">
        <v>90</v>
      </c>
      <c r="F26" s="57">
        <v>2545</v>
      </c>
      <c r="G26" s="58">
        <v>0.127</v>
      </c>
      <c r="H26" s="59" t="s">
        <v>195</v>
      </c>
      <c r="I26" s="43">
        <f t="shared" si="0"/>
        <v>88000</v>
      </c>
      <c r="J26" s="49">
        <f t="shared" si="1"/>
        <v>86000</v>
      </c>
      <c r="K26" s="60">
        <v>80300</v>
      </c>
      <c r="L26" s="3"/>
    </row>
    <row r="27" spans="1:12" ht="12" customHeight="1">
      <c r="B27" s="48">
        <v>22</v>
      </c>
      <c r="C27" s="56" t="s">
        <v>110</v>
      </c>
      <c r="D27" s="56" t="s">
        <v>4</v>
      </c>
      <c r="E27" s="56">
        <v>120</v>
      </c>
      <c r="F27" s="57">
        <v>3000</v>
      </c>
      <c r="G27" s="58">
        <f>3.8-0.533-0.526-0.37-1.6</f>
        <v>0.77099999999999946</v>
      </c>
      <c r="H27" s="59" t="s">
        <v>195</v>
      </c>
      <c r="I27" s="43">
        <f t="shared" si="0"/>
        <v>88000</v>
      </c>
      <c r="J27" s="49">
        <f t="shared" si="1"/>
        <v>86000</v>
      </c>
      <c r="K27" s="60">
        <v>80300</v>
      </c>
      <c r="L27" s="3"/>
    </row>
    <row r="28" spans="1:12" ht="12" customHeight="1">
      <c r="B28" s="48">
        <v>23</v>
      </c>
      <c r="C28" s="56" t="s">
        <v>140</v>
      </c>
      <c r="D28" s="56" t="s">
        <v>4</v>
      </c>
      <c r="E28" s="56">
        <v>40</v>
      </c>
      <c r="F28" s="57" t="s">
        <v>141</v>
      </c>
      <c r="G28" s="58">
        <v>0.1</v>
      </c>
      <c r="H28" s="59" t="s">
        <v>195</v>
      </c>
      <c r="I28" s="43">
        <f t="shared" si="0"/>
        <v>76500</v>
      </c>
      <c r="J28" s="49">
        <f t="shared" si="1"/>
        <v>74500</v>
      </c>
      <c r="K28" s="60">
        <v>69600</v>
      </c>
      <c r="L28" s="3"/>
    </row>
    <row r="29" spans="1:12" ht="12" customHeight="1">
      <c r="B29" s="48">
        <v>24</v>
      </c>
      <c r="C29" s="56" t="s">
        <v>140</v>
      </c>
      <c r="D29" s="56" t="s">
        <v>4</v>
      </c>
      <c r="E29" s="56">
        <v>40</v>
      </c>
      <c r="F29" s="57" t="s">
        <v>141</v>
      </c>
      <c r="G29" s="58">
        <f>1.66-0.3-0.25-0.15</f>
        <v>0.95999999999999985</v>
      </c>
      <c r="H29" s="59" t="s">
        <v>195</v>
      </c>
      <c r="I29" s="43">
        <f t="shared" si="0"/>
        <v>76500</v>
      </c>
      <c r="J29" s="49">
        <f t="shared" si="1"/>
        <v>74500</v>
      </c>
      <c r="K29" s="60">
        <v>69600</v>
      </c>
      <c r="L29" s="3"/>
    </row>
    <row r="30" spans="1:12" ht="12" customHeight="1">
      <c r="B30" s="48">
        <v>25</v>
      </c>
      <c r="C30" s="56" t="s">
        <v>140</v>
      </c>
      <c r="D30" s="56" t="s">
        <v>4</v>
      </c>
      <c r="E30" s="56">
        <v>45</v>
      </c>
      <c r="F30" s="57">
        <v>2430</v>
      </c>
      <c r="G30" s="58">
        <v>0.03</v>
      </c>
      <c r="H30" s="59" t="s">
        <v>195</v>
      </c>
      <c r="I30" s="43">
        <f t="shared" si="0"/>
        <v>76500</v>
      </c>
      <c r="J30" s="49">
        <f t="shared" si="1"/>
        <v>74500</v>
      </c>
      <c r="K30" s="60">
        <v>69600</v>
      </c>
      <c r="L30" s="3"/>
    </row>
    <row r="31" spans="1:12" ht="12" customHeight="1">
      <c r="B31" s="48">
        <v>26</v>
      </c>
      <c r="C31" s="67" t="s">
        <v>140</v>
      </c>
      <c r="D31" s="76" t="s">
        <v>4</v>
      </c>
      <c r="E31" s="80">
        <v>70</v>
      </c>
      <c r="F31" s="68">
        <v>3415</v>
      </c>
      <c r="G31" s="81">
        <v>0.37</v>
      </c>
      <c r="H31" s="69" t="s">
        <v>195</v>
      </c>
      <c r="I31" s="43">
        <f t="shared" si="0"/>
        <v>76500</v>
      </c>
      <c r="J31" s="49">
        <f t="shared" si="1"/>
        <v>74500</v>
      </c>
      <c r="K31" s="60">
        <v>69600</v>
      </c>
      <c r="L31" s="3"/>
    </row>
    <row r="32" spans="1:12" ht="12" customHeight="1">
      <c r="B32" s="48">
        <v>27</v>
      </c>
      <c r="C32" s="56" t="s">
        <v>191</v>
      </c>
      <c r="D32" s="56" t="s">
        <v>4</v>
      </c>
      <c r="E32" s="56">
        <v>10</v>
      </c>
      <c r="F32" s="57">
        <v>4000</v>
      </c>
      <c r="G32" s="58">
        <v>4.4999999999999998E-2</v>
      </c>
      <c r="H32" s="59" t="s">
        <v>218</v>
      </c>
      <c r="I32" s="43">
        <f t="shared" si="0"/>
        <v>76500</v>
      </c>
      <c r="J32" s="49">
        <f t="shared" si="1"/>
        <v>74500</v>
      </c>
      <c r="K32" s="60">
        <v>69600</v>
      </c>
      <c r="L32" s="3"/>
    </row>
    <row r="33" spans="2:12" ht="12" customHeight="1">
      <c r="B33" s="48">
        <v>28</v>
      </c>
      <c r="C33" s="56">
        <v>10</v>
      </c>
      <c r="D33" s="56" t="s">
        <v>4</v>
      </c>
      <c r="E33" s="56">
        <v>6</v>
      </c>
      <c r="F33" s="57">
        <v>2690</v>
      </c>
      <c r="G33" s="58">
        <f>0.495-0.005</f>
        <v>0.49</v>
      </c>
      <c r="H33" s="59" t="s">
        <v>218</v>
      </c>
      <c r="I33" s="43">
        <f t="shared" si="0"/>
        <v>76500</v>
      </c>
      <c r="J33" s="49">
        <f t="shared" si="1"/>
        <v>74500</v>
      </c>
      <c r="K33" s="60">
        <v>69600</v>
      </c>
      <c r="L33" s="5"/>
    </row>
    <row r="34" spans="2:12" ht="12" customHeight="1">
      <c r="B34" s="48">
        <v>29</v>
      </c>
      <c r="C34" s="56">
        <v>10</v>
      </c>
      <c r="D34" s="56" t="s">
        <v>4</v>
      </c>
      <c r="E34" s="56">
        <v>6</v>
      </c>
      <c r="F34" s="57">
        <v>2510</v>
      </c>
      <c r="G34" s="58">
        <f>0.305-0.013</f>
        <v>0.29199999999999998</v>
      </c>
      <c r="H34" s="59" t="s">
        <v>218</v>
      </c>
      <c r="I34" s="43">
        <f t="shared" si="0"/>
        <v>76500</v>
      </c>
      <c r="J34" s="49">
        <f t="shared" si="1"/>
        <v>74500</v>
      </c>
      <c r="K34" s="60">
        <v>69600</v>
      </c>
      <c r="L34" s="3"/>
    </row>
    <row r="35" spans="2:12" ht="12" customHeight="1">
      <c r="B35" s="48">
        <v>30</v>
      </c>
      <c r="C35" s="56">
        <v>10</v>
      </c>
      <c r="D35" s="56" t="s">
        <v>4</v>
      </c>
      <c r="E35" s="56">
        <v>20</v>
      </c>
      <c r="F35" s="57">
        <v>1390</v>
      </c>
      <c r="G35" s="58">
        <v>3.0000000000000001E-3</v>
      </c>
      <c r="H35" s="59" t="s">
        <v>195</v>
      </c>
      <c r="I35" s="43">
        <f t="shared" si="0"/>
        <v>76500</v>
      </c>
      <c r="J35" s="49">
        <f t="shared" si="1"/>
        <v>74500</v>
      </c>
      <c r="K35" s="60">
        <v>69600</v>
      </c>
      <c r="L35" s="3"/>
    </row>
    <row r="36" spans="2:12" ht="12" customHeight="1">
      <c r="B36" s="48">
        <v>31</v>
      </c>
      <c r="C36" s="56">
        <v>10</v>
      </c>
      <c r="D36" s="56" t="s">
        <v>4</v>
      </c>
      <c r="E36" s="56">
        <v>22</v>
      </c>
      <c r="F36" s="57" t="s">
        <v>7</v>
      </c>
      <c r="G36" s="58">
        <v>1.6E-2</v>
      </c>
      <c r="H36" s="59" t="s">
        <v>8</v>
      </c>
      <c r="I36" s="43">
        <f t="shared" si="0"/>
        <v>76500</v>
      </c>
      <c r="J36" s="49">
        <f t="shared" si="1"/>
        <v>74500</v>
      </c>
      <c r="K36" s="60">
        <v>69600</v>
      </c>
      <c r="L36" s="3"/>
    </row>
    <row r="37" spans="2:12" ht="12" customHeight="1">
      <c r="B37" s="48">
        <v>32</v>
      </c>
      <c r="C37" s="56">
        <v>10</v>
      </c>
      <c r="D37" s="56" t="s">
        <v>4</v>
      </c>
      <c r="E37" s="56">
        <v>22.5</v>
      </c>
      <c r="F37" s="57" t="s">
        <v>9</v>
      </c>
      <c r="G37" s="58">
        <v>1.0999999999999999E-2</v>
      </c>
      <c r="H37" s="59" t="s">
        <v>195</v>
      </c>
      <c r="I37" s="43">
        <f t="shared" si="0"/>
        <v>76500</v>
      </c>
      <c r="J37" s="49">
        <f t="shared" si="1"/>
        <v>74500</v>
      </c>
      <c r="K37" s="60">
        <v>69600</v>
      </c>
      <c r="L37" s="3"/>
    </row>
    <row r="38" spans="2:12" ht="12" customHeight="1">
      <c r="B38" s="48">
        <v>33</v>
      </c>
      <c r="C38" s="56">
        <v>10</v>
      </c>
      <c r="D38" s="56" t="s">
        <v>4</v>
      </c>
      <c r="E38" s="56">
        <v>26</v>
      </c>
      <c r="F38" s="57">
        <v>5550</v>
      </c>
      <c r="G38" s="58">
        <f>0.21-0.023-0.045</f>
        <v>0.14200000000000002</v>
      </c>
      <c r="H38" s="59" t="s">
        <v>195</v>
      </c>
      <c r="I38" s="43">
        <f t="shared" si="0"/>
        <v>76500</v>
      </c>
      <c r="J38" s="49">
        <f t="shared" si="1"/>
        <v>74500</v>
      </c>
      <c r="K38" s="60">
        <v>69600</v>
      </c>
      <c r="L38" s="3"/>
    </row>
    <row r="39" spans="2:12" ht="12" customHeight="1">
      <c r="B39" s="48">
        <v>34</v>
      </c>
      <c r="C39" s="56">
        <v>10</v>
      </c>
      <c r="D39" s="56" t="s">
        <v>4</v>
      </c>
      <c r="E39" s="56">
        <v>40</v>
      </c>
      <c r="F39" s="57">
        <v>3785</v>
      </c>
      <c r="G39" s="58">
        <f>1.33-0.118</f>
        <v>1.2120000000000002</v>
      </c>
      <c r="H39" s="59" t="s">
        <v>195</v>
      </c>
      <c r="I39" s="43">
        <f t="shared" si="0"/>
        <v>76500</v>
      </c>
      <c r="J39" s="49">
        <f t="shared" si="1"/>
        <v>74500</v>
      </c>
      <c r="K39" s="60">
        <v>69600</v>
      </c>
      <c r="L39" s="3"/>
    </row>
    <row r="40" spans="2:12" ht="12" customHeight="1">
      <c r="B40" s="48">
        <v>35</v>
      </c>
      <c r="C40" s="56">
        <v>10</v>
      </c>
      <c r="D40" s="56" t="s">
        <v>4</v>
      </c>
      <c r="E40" s="56">
        <v>50</v>
      </c>
      <c r="F40" s="57">
        <v>5500</v>
      </c>
      <c r="G40" s="58">
        <v>8.4000000000000005E-2</v>
      </c>
      <c r="H40" s="59" t="s">
        <v>195</v>
      </c>
      <c r="I40" s="43">
        <f t="shared" si="0"/>
        <v>76500</v>
      </c>
      <c r="J40" s="49">
        <f t="shared" si="1"/>
        <v>74500</v>
      </c>
      <c r="K40" s="60">
        <v>69600</v>
      </c>
      <c r="L40" s="3"/>
    </row>
    <row r="41" spans="2:12" ht="12" customHeight="1">
      <c r="B41" s="48">
        <v>36</v>
      </c>
      <c r="C41" s="56">
        <v>10</v>
      </c>
      <c r="D41" s="56" t="s">
        <v>4</v>
      </c>
      <c r="E41" s="56">
        <v>55</v>
      </c>
      <c r="F41" s="57">
        <v>3520</v>
      </c>
      <c r="G41" s="58">
        <v>6.5000000000000002E-2</v>
      </c>
      <c r="H41" s="59" t="s">
        <v>195</v>
      </c>
      <c r="I41" s="43">
        <f t="shared" si="0"/>
        <v>76500</v>
      </c>
      <c r="J41" s="49">
        <f t="shared" si="1"/>
        <v>74500</v>
      </c>
      <c r="K41" s="60">
        <v>69600</v>
      </c>
      <c r="L41" s="3"/>
    </row>
    <row r="42" spans="2:12" ht="12" customHeight="1">
      <c r="B42" s="48">
        <v>37</v>
      </c>
      <c r="C42" s="56" t="s">
        <v>193</v>
      </c>
      <c r="D42" s="56" t="s">
        <v>4</v>
      </c>
      <c r="E42" s="56">
        <v>20</v>
      </c>
      <c r="F42" s="57">
        <v>5900</v>
      </c>
      <c r="G42" s="58">
        <f>0.12-0.014-0.007</f>
        <v>9.8999999999999991E-2</v>
      </c>
      <c r="H42" s="59" t="s">
        <v>195</v>
      </c>
      <c r="I42" s="43">
        <f t="shared" si="0"/>
        <v>76500</v>
      </c>
      <c r="J42" s="49">
        <f t="shared" si="1"/>
        <v>74500</v>
      </c>
      <c r="K42" s="60">
        <v>69600</v>
      </c>
      <c r="L42" s="3"/>
    </row>
    <row r="43" spans="2:12" ht="12" customHeight="1">
      <c r="B43" s="48">
        <v>38</v>
      </c>
      <c r="C43" s="56">
        <v>15</v>
      </c>
      <c r="D43" s="56" t="s">
        <v>4</v>
      </c>
      <c r="E43" s="56">
        <v>11</v>
      </c>
      <c r="F43" s="57">
        <v>2770</v>
      </c>
      <c r="G43" s="58">
        <f>0.085-0.008-0.006</f>
        <v>7.1000000000000008E-2</v>
      </c>
      <c r="H43" s="59" t="s">
        <v>218</v>
      </c>
      <c r="I43" s="43">
        <f t="shared" si="0"/>
        <v>76500</v>
      </c>
      <c r="J43" s="49">
        <f t="shared" si="1"/>
        <v>74500</v>
      </c>
      <c r="K43" s="60">
        <v>69600</v>
      </c>
      <c r="L43" s="3"/>
    </row>
    <row r="44" spans="2:12" ht="12" customHeight="1">
      <c r="B44" s="48">
        <v>39</v>
      </c>
      <c r="C44" s="56">
        <v>15</v>
      </c>
      <c r="D44" s="56" t="s">
        <v>4</v>
      </c>
      <c r="E44" s="56">
        <v>22</v>
      </c>
      <c r="F44" s="57">
        <v>5800</v>
      </c>
      <c r="G44" s="58">
        <f>0.325-0.017-0.086-0.017-0.051-0.017-0.017</f>
        <v>0.12000000000000001</v>
      </c>
      <c r="H44" s="59" t="s">
        <v>195</v>
      </c>
      <c r="I44" s="43">
        <f t="shared" si="0"/>
        <v>76500</v>
      </c>
      <c r="J44" s="49">
        <f t="shared" si="1"/>
        <v>74500</v>
      </c>
      <c r="K44" s="60">
        <v>69600</v>
      </c>
      <c r="L44" s="3"/>
    </row>
    <row r="45" spans="2:12" ht="12" customHeight="1">
      <c r="B45" s="48">
        <v>40</v>
      </c>
      <c r="C45" s="56">
        <v>15</v>
      </c>
      <c r="D45" s="56" t="s">
        <v>4</v>
      </c>
      <c r="E45" s="56">
        <v>40</v>
      </c>
      <c r="F45" s="57" t="s">
        <v>10</v>
      </c>
      <c r="G45" s="58">
        <f>0.412-0.039-0.215</f>
        <v>0.158</v>
      </c>
      <c r="H45" s="59" t="s">
        <v>195</v>
      </c>
      <c r="I45" s="43">
        <f t="shared" si="0"/>
        <v>76500</v>
      </c>
      <c r="J45" s="49">
        <f t="shared" si="1"/>
        <v>74500</v>
      </c>
      <c r="K45" s="60">
        <v>69600</v>
      </c>
      <c r="L45" s="3"/>
    </row>
    <row r="46" spans="2:12" ht="12" customHeight="1">
      <c r="B46" s="48">
        <v>41</v>
      </c>
      <c r="C46" s="56">
        <v>15</v>
      </c>
      <c r="D46" s="56" t="s">
        <v>4</v>
      </c>
      <c r="E46" s="56">
        <v>50</v>
      </c>
      <c r="F46" s="57">
        <v>3845</v>
      </c>
      <c r="G46" s="58">
        <f>0.058+0.063+0.075+0.076</f>
        <v>0.27200000000000002</v>
      </c>
      <c r="H46" s="59" t="s">
        <v>195</v>
      </c>
      <c r="I46" s="43">
        <f t="shared" si="0"/>
        <v>76500</v>
      </c>
      <c r="J46" s="49">
        <f t="shared" si="1"/>
        <v>74500</v>
      </c>
      <c r="K46" s="60">
        <v>69600</v>
      </c>
      <c r="L46" s="5"/>
    </row>
    <row r="47" spans="2:12" ht="12" customHeight="1">
      <c r="B47" s="48">
        <v>42</v>
      </c>
      <c r="C47" s="56">
        <v>15</v>
      </c>
      <c r="D47" s="56" t="s">
        <v>4</v>
      </c>
      <c r="E47" s="56">
        <v>50</v>
      </c>
      <c r="F47" s="57">
        <v>5100</v>
      </c>
      <c r="G47" s="58">
        <f>0.155-0.078</f>
        <v>7.6999999999999999E-2</v>
      </c>
      <c r="H47" s="59" t="s">
        <v>195</v>
      </c>
      <c r="I47" s="43">
        <f t="shared" si="0"/>
        <v>76500</v>
      </c>
      <c r="J47" s="49">
        <f t="shared" si="1"/>
        <v>74500</v>
      </c>
      <c r="K47" s="60">
        <v>69600</v>
      </c>
      <c r="L47" s="3"/>
    </row>
    <row r="48" spans="2:12" ht="12" customHeight="1">
      <c r="B48" s="48">
        <v>43</v>
      </c>
      <c r="C48" s="56">
        <v>15</v>
      </c>
      <c r="D48" s="56" t="s">
        <v>4</v>
      </c>
      <c r="E48" s="56">
        <v>55</v>
      </c>
      <c r="F48" s="57">
        <v>3610</v>
      </c>
      <c r="G48" s="58">
        <v>6.7000000000000004E-2</v>
      </c>
      <c r="H48" s="59" t="s">
        <v>195</v>
      </c>
      <c r="I48" s="43">
        <f t="shared" si="0"/>
        <v>76500</v>
      </c>
      <c r="J48" s="49">
        <f t="shared" si="1"/>
        <v>74500</v>
      </c>
      <c r="K48" s="60">
        <v>69600</v>
      </c>
      <c r="L48" s="3"/>
    </row>
    <row r="49" spans="1:12" ht="12" customHeight="1">
      <c r="B49" s="48">
        <v>44</v>
      </c>
      <c r="C49" s="56">
        <v>15</v>
      </c>
      <c r="D49" s="56" t="s">
        <v>4</v>
      </c>
      <c r="E49" s="56">
        <v>55</v>
      </c>
      <c r="F49" s="57">
        <v>3680</v>
      </c>
      <c r="G49" s="58">
        <v>6.8000000000000005E-2</v>
      </c>
      <c r="H49" s="59" t="s">
        <v>195</v>
      </c>
      <c r="I49" s="43">
        <f t="shared" si="0"/>
        <v>76500</v>
      </c>
      <c r="J49" s="49">
        <f t="shared" si="1"/>
        <v>74500</v>
      </c>
      <c r="K49" s="60">
        <v>69600</v>
      </c>
      <c r="L49" s="3"/>
    </row>
    <row r="50" spans="1:12" ht="12" customHeight="1">
      <c r="B50" s="48">
        <v>45</v>
      </c>
      <c r="C50" s="56">
        <v>15</v>
      </c>
      <c r="D50" s="56" t="s">
        <v>4</v>
      </c>
      <c r="E50" s="56">
        <v>56</v>
      </c>
      <c r="F50" s="57">
        <v>5510</v>
      </c>
      <c r="G50" s="58">
        <v>0.107</v>
      </c>
      <c r="H50" s="59" t="s">
        <v>195</v>
      </c>
      <c r="I50" s="43">
        <f t="shared" si="0"/>
        <v>76500</v>
      </c>
      <c r="J50" s="49">
        <f t="shared" si="1"/>
        <v>74500</v>
      </c>
      <c r="K50" s="60">
        <v>69600</v>
      </c>
      <c r="L50" s="3"/>
    </row>
    <row r="51" spans="1:12" ht="12" customHeight="1">
      <c r="B51" s="48">
        <v>46</v>
      </c>
      <c r="C51" s="56">
        <v>15</v>
      </c>
      <c r="D51" s="56" t="s">
        <v>4</v>
      </c>
      <c r="E51" s="56">
        <v>70</v>
      </c>
      <c r="F51" s="57">
        <v>1665</v>
      </c>
      <c r="G51" s="58">
        <f>0.247-0.155</f>
        <v>9.1999999999999998E-2</v>
      </c>
      <c r="H51" s="59" t="s">
        <v>195</v>
      </c>
      <c r="I51" s="43">
        <f t="shared" si="0"/>
        <v>76500</v>
      </c>
      <c r="J51" s="49">
        <f t="shared" si="1"/>
        <v>74500</v>
      </c>
      <c r="K51" s="60">
        <v>69600</v>
      </c>
      <c r="L51" s="3"/>
    </row>
    <row r="52" spans="1:12" ht="12" customHeight="1">
      <c r="B52" s="48">
        <v>47</v>
      </c>
      <c r="C52" s="56">
        <v>15</v>
      </c>
      <c r="D52" s="56" t="s">
        <v>4</v>
      </c>
      <c r="E52" s="56">
        <v>70</v>
      </c>
      <c r="F52" s="57">
        <v>3535</v>
      </c>
      <c r="G52" s="58">
        <f>1.97-0.123-0.105-0.32</f>
        <v>1.4219999999999999</v>
      </c>
      <c r="H52" s="59" t="s">
        <v>195</v>
      </c>
      <c r="I52" s="43">
        <f t="shared" si="0"/>
        <v>76500</v>
      </c>
      <c r="J52" s="49">
        <f t="shared" si="1"/>
        <v>74500</v>
      </c>
      <c r="K52" s="60">
        <v>69600</v>
      </c>
      <c r="L52" s="3"/>
    </row>
    <row r="53" spans="1:12" ht="12" customHeight="1">
      <c r="B53" s="48">
        <v>48</v>
      </c>
      <c r="C53" s="56">
        <v>15</v>
      </c>
      <c r="D53" s="56" t="s">
        <v>4</v>
      </c>
      <c r="E53" s="56">
        <v>74</v>
      </c>
      <c r="F53" s="57">
        <v>3600</v>
      </c>
      <c r="G53" s="58">
        <v>0.12</v>
      </c>
      <c r="H53" s="59" t="s">
        <v>195</v>
      </c>
      <c r="I53" s="43">
        <f t="shared" si="0"/>
        <v>76500</v>
      </c>
      <c r="J53" s="49">
        <f t="shared" si="1"/>
        <v>74500</v>
      </c>
      <c r="K53" s="60">
        <v>69600</v>
      </c>
      <c r="L53" s="3"/>
    </row>
    <row r="54" spans="1:12" customFormat="1" ht="12" customHeight="1">
      <c r="A54" s="4"/>
      <c r="B54" s="48">
        <v>49</v>
      </c>
      <c r="C54" s="56">
        <v>15</v>
      </c>
      <c r="D54" s="56" t="s">
        <v>4</v>
      </c>
      <c r="E54" s="56">
        <v>75</v>
      </c>
      <c r="F54" s="57">
        <v>3610</v>
      </c>
      <c r="G54" s="58">
        <v>0.123</v>
      </c>
      <c r="H54" s="59" t="s">
        <v>195</v>
      </c>
      <c r="I54" s="43">
        <f t="shared" si="0"/>
        <v>76500</v>
      </c>
      <c r="J54" s="49">
        <f t="shared" si="1"/>
        <v>74500</v>
      </c>
      <c r="K54" s="60">
        <v>69600</v>
      </c>
    </row>
    <row r="55" spans="1:12" ht="12" customHeight="1">
      <c r="B55" s="48">
        <v>50</v>
      </c>
      <c r="C55" s="56">
        <v>15</v>
      </c>
      <c r="D55" s="56" t="s">
        <v>4</v>
      </c>
      <c r="E55" s="56">
        <v>250</v>
      </c>
      <c r="F55" s="57">
        <v>690</v>
      </c>
      <c r="G55" s="58">
        <v>0.28499999999999998</v>
      </c>
      <c r="H55" s="59" t="s">
        <v>34</v>
      </c>
      <c r="I55" s="43">
        <f t="shared" si="0"/>
        <v>105100</v>
      </c>
      <c r="J55" s="49">
        <f t="shared" si="1"/>
        <v>103100</v>
      </c>
      <c r="K55" s="60">
        <v>96300</v>
      </c>
      <c r="L55" s="3"/>
    </row>
    <row r="56" spans="1:12" s="5" customFormat="1" ht="12" customHeight="1">
      <c r="B56" s="48">
        <v>51</v>
      </c>
      <c r="C56" s="56">
        <v>15</v>
      </c>
      <c r="D56" s="56" t="s">
        <v>4</v>
      </c>
      <c r="E56" s="56">
        <v>270</v>
      </c>
      <c r="F56" s="57">
        <v>1080</v>
      </c>
      <c r="G56" s="58">
        <v>0.51500000000000001</v>
      </c>
      <c r="H56" s="59" t="s">
        <v>34</v>
      </c>
      <c r="I56" s="43">
        <f t="shared" si="0"/>
        <v>105100</v>
      </c>
      <c r="J56" s="49">
        <f t="shared" si="1"/>
        <v>103100</v>
      </c>
      <c r="K56" s="60">
        <v>96300</v>
      </c>
      <c r="L56" s="3"/>
    </row>
    <row r="57" spans="1:12" ht="12" customHeight="1">
      <c r="B57" s="48">
        <v>52</v>
      </c>
      <c r="C57" s="56">
        <v>15</v>
      </c>
      <c r="D57" s="56" t="s">
        <v>4</v>
      </c>
      <c r="E57" s="56">
        <v>270</v>
      </c>
      <c r="F57" s="57">
        <v>1080</v>
      </c>
      <c r="G57" s="58">
        <v>0.5</v>
      </c>
      <c r="H57" s="59" t="s">
        <v>34</v>
      </c>
      <c r="I57" s="43">
        <f t="shared" si="0"/>
        <v>105100</v>
      </c>
      <c r="J57" s="49">
        <f t="shared" si="1"/>
        <v>103100</v>
      </c>
      <c r="K57" s="60">
        <v>96300</v>
      </c>
      <c r="L57" s="3"/>
    </row>
    <row r="58" spans="1:12" ht="12" customHeight="1">
      <c r="B58" s="48">
        <v>53</v>
      </c>
      <c r="C58" s="56">
        <v>15</v>
      </c>
      <c r="D58" s="56" t="s">
        <v>4</v>
      </c>
      <c r="E58" s="56">
        <v>270</v>
      </c>
      <c r="F58" s="57">
        <v>1090</v>
      </c>
      <c r="G58" s="58">
        <v>0.51</v>
      </c>
      <c r="H58" s="59" t="s">
        <v>34</v>
      </c>
      <c r="I58" s="43">
        <f t="shared" si="0"/>
        <v>105100</v>
      </c>
      <c r="J58" s="49">
        <f t="shared" si="1"/>
        <v>103100</v>
      </c>
      <c r="K58" s="60">
        <v>96300</v>
      </c>
      <c r="L58" s="3"/>
    </row>
    <row r="59" spans="1:12" ht="12" customHeight="1">
      <c r="B59" s="48">
        <v>54</v>
      </c>
      <c r="C59" s="56">
        <v>15</v>
      </c>
      <c r="D59" s="56" t="s">
        <v>4</v>
      </c>
      <c r="E59" s="56">
        <v>270</v>
      </c>
      <c r="F59" s="57">
        <v>1100</v>
      </c>
      <c r="G59" s="58">
        <v>0.52500000000000002</v>
      </c>
      <c r="H59" s="59" t="s">
        <v>34</v>
      </c>
      <c r="I59" s="43">
        <f t="shared" si="0"/>
        <v>105100</v>
      </c>
      <c r="J59" s="49">
        <f t="shared" si="1"/>
        <v>103100</v>
      </c>
      <c r="K59" s="60">
        <v>96300</v>
      </c>
      <c r="L59" s="3"/>
    </row>
    <row r="60" spans="1:12" ht="12" customHeight="1">
      <c r="B60" s="48">
        <v>55</v>
      </c>
      <c r="C60" s="56" t="s">
        <v>230</v>
      </c>
      <c r="D60" s="56" t="s">
        <v>4</v>
      </c>
      <c r="E60" s="56">
        <v>25</v>
      </c>
      <c r="F60" s="57">
        <v>6860</v>
      </c>
      <c r="G60" s="58">
        <v>2.5999999999999999E-2</v>
      </c>
      <c r="H60" s="59" t="s">
        <v>195</v>
      </c>
      <c r="I60" s="43">
        <f t="shared" si="0"/>
        <v>76500</v>
      </c>
      <c r="J60" s="49">
        <f t="shared" si="1"/>
        <v>74500</v>
      </c>
      <c r="K60" s="60">
        <v>69600</v>
      </c>
      <c r="L60" s="3"/>
    </row>
    <row r="61" spans="1:12" ht="12" customHeight="1">
      <c r="B61" s="48">
        <v>56</v>
      </c>
      <c r="C61" s="56">
        <v>20</v>
      </c>
      <c r="D61" s="56" t="s">
        <v>4</v>
      </c>
      <c r="E61" s="56">
        <v>11</v>
      </c>
      <c r="F61" s="57">
        <v>3520</v>
      </c>
      <c r="G61" s="58">
        <f>0.15-0.008-0.04-0.007-0.005-0.007</f>
        <v>8.2999999999999963E-2</v>
      </c>
      <c r="H61" s="59" t="s">
        <v>218</v>
      </c>
      <c r="I61" s="43">
        <f t="shared" si="0"/>
        <v>76500</v>
      </c>
      <c r="J61" s="49">
        <f t="shared" si="1"/>
        <v>74500</v>
      </c>
      <c r="K61" s="60">
        <v>69600</v>
      </c>
      <c r="L61" s="3"/>
    </row>
    <row r="62" spans="1:12" ht="12" customHeight="1">
      <c r="B62" s="48">
        <v>57</v>
      </c>
      <c r="C62" s="56">
        <v>20</v>
      </c>
      <c r="D62" s="56" t="s">
        <v>4</v>
      </c>
      <c r="E62" s="56">
        <v>12.5</v>
      </c>
      <c r="F62" s="57">
        <v>3200</v>
      </c>
      <c r="G62" s="58">
        <f>1.438-0.1-0.09-0.006-0.012-0.003-0.063-0.003</f>
        <v>1.161</v>
      </c>
      <c r="H62" s="59" t="s">
        <v>218</v>
      </c>
      <c r="I62" s="43">
        <f t="shared" si="0"/>
        <v>76500</v>
      </c>
      <c r="J62" s="49">
        <f t="shared" si="1"/>
        <v>74500</v>
      </c>
      <c r="K62" s="60">
        <v>69600</v>
      </c>
      <c r="L62" s="3"/>
    </row>
    <row r="63" spans="1:12" ht="12" customHeight="1">
      <c r="B63" s="48">
        <v>58</v>
      </c>
      <c r="C63" s="56">
        <v>20</v>
      </c>
      <c r="D63" s="56" t="s">
        <v>4</v>
      </c>
      <c r="E63" s="56">
        <v>15</v>
      </c>
      <c r="F63" s="57">
        <v>4300</v>
      </c>
      <c r="G63" s="58">
        <f>0.17-0.006</f>
        <v>0.16400000000000001</v>
      </c>
      <c r="H63" s="59" t="s">
        <v>218</v>
      </c>
      <c r="I63" s="43">
        <f t="shared" si="0"/>
        <v>76500</v>
      </c>
      <c r="J63" s="49">
        <f t="shared" si="1"/>
        <v>74500</v>
      </c>
      <c r="K63" s="60">
        <v>69600</v>
      </c>
      <c r="L63" s="3"/>
    </row>
    <row r="64" spans="1:12" ht="12" customHeight="1">
      <c r="B64" s="48">
        <v>59</v>
      </c>
      <c r="C64" s="56">
        <v>20</v>
      </c>
      <c r="D64" s="56" t="s">
        <v>4</v>
      </c>
      <c r="E64" s="74">
        <v>15</v>
      </c>
      <c r="F64" s="77">
        <v>7230</v>
      </c>
      <c r="G64" s="75">
        <v>0.05</v>
      </c>
      <c r="H64" s="78" t="s">
        <v>195</v>
      </c>
      <c r="I64" s="43">
        <f t="shared" si="0"/>
        <v>76500</v>
      </c>
      <c r="J64" s="49">
        <f t="shared" si="1"/>
        <v>74500</v>
      </c>
      <c r="K64" s="60">
        <v>69600</v>
      </c>
      <c r="L64" s="3"/>
    </row>
    <row r="65" spans="1:12" ht="12" customHeight="1">
      <c r="B65" s="48">
        <v>60</v>
      </c>
      <c r="C65" s="56">
        <v>20</v>
      </c>
      <c r="D65" s="56" t="s">
        <v>4</v>
      </c>
      <c r="E65" s="56">
        <v>24</v>
      </c>
      <c r="F65" s="57">
        <v>4800</v>
      </c>
      <c r="G65" s="58">
        <v>0.105</v>
      </c>
      <c r="H65" s="59" t="s">
        <v>195</v>
      </c>
      <c r="I65" s="43">
        <f t="shared" si="0"/>
        <v>76500</v>
      </c>
      <c r="J65" s="49">
        <f t="shared" si="1"/>
        <v>74500</v>
      </c>
      <c r="K65" s="60">
        <v>69600</v>
      </c>
      <c r="L65" s="3"/>
    </row>
    <row r="66" spans="1:12" ht="12" customHeight="1">
      <c r="B66" s="48">
        <v>61</v>
      </c>
      <c r="C66" s="56">
        <v>20</v>
      </c>
      <c r="D66" s="56" t="s">
        <v>4</v>
      </c>
      <c r="E66" s="56">
        <v>28</v>
      </c>
      <c r="F66" s="57">
        <v>4130</v>
      </c>
      <c r="G66" s="58">
        <f>0.36-0.019-0.111</f>
        <v>0.22999999999999998</v>
      </c>
      <c r="H66" s="59" t="s">
        <v>195</v>
      </c>
      <c r="I66" s="43">
        <f t="shared" si="0"/>
        <v>76500</v>
      </c>
      <c r="J66" s="49">
        <f t="shared" si="1"/>
        <v>74500</v>
      </c>
      <c r="K66" s="60">
        <v>69600</v>
      </c>
      <c r="L66" s="3"/>
    </row>
    <row r="67" spans="1:12" ht="12" customHeight="1">
      <c r="B67" s="48">
        <v>62</v>
      </c>
      <c r="C67" s="56">
        <v>20</v>
      </c>
      <c r="D67" s="56" t="s">
        <v>4</v>
      </c>
      <c r="E67" s="56">
        <v>40</v>
      </c>
      <c r="F67" s="57">
        <v>5690</v>
      </c>
      <c r="G67" s="58">
        <v>5.6000000000000001E-2</v>
      </c>
      <c r="H67" s="59" t="s">
        <v>195</v>
      </c>
      <c r="I67" s="43">
        <f t="shared" si="0"/>
        <v>76500</v>
      </c>
      <c r="J67" s="49">
        <f t="shared" si="1"/>
        <v>74500</v>
      </c>
      <c r="K67" s="60">
        <v>69600</v>
      </c>
      <c r="L67" s="3"/>
    </row>
    <row r="68" spans="1:12" ht="12" customHeight="1">
      <c r="B68" s="48">
        <v>63</v>
      </c>
      <c r="C68" s="56">
        <v>20</v>
      </c>
      <c r="D68" s="56" t="s">
        <v>4</v>
      </c>
      <c r="E68" s="56">
        <v>41</v>
      </c>
      <c r="F68" s="57">
        <v>2170</v>
      </c>
      <c r="G68" s="58">
        <f>0.39-0.022-0.022</f>
        <v>0.34599999999999997</v>
      </c>
      <c r="H68" s="59" t="s">
        <v>195</v>
      </c>
      <c r="I68" s="43">
        <f t="shared" si="0"/>
        <v>76500</v>
      </c>
      <c r="J68" s="49">
        <f t="shared" si="1"/>
        <v>74500</v>
      </c>
      <c r="K68" s="60">
        <v>69600</v>
      </c>
      <c r="L68" s="3"/>
    </row>
    <row r="69" spans="1:12" ht="12" customHeight="1">
      <c r="B69" s="48">
        <v>64</v>
      </c>
      <c r="C69" s="56">
        <v>20</v>
      </c>
      <c r="D69" s="56" t="s">
        <v>4</v>
      </c>
      <c r="E69" s="56">
        <v>42</v>
      </c>
      <c r="F69" s="57">
        <v>2500</v>
      </c>
      <c r="G69" s="58">
        <f>0.23-0.025-0.027</f>
        <v>0.17800000000000002</v>
      </c>
      <c r="H69" s="59" t="s">
        <v>195</v>
      </c>
      <c r="I69" s="43">
        <f t="shared" si="0"/>
        <v>76500</v>
      </c>
      <c r="J69" s="49">
        <f t="shared" si="1"/>
        <v>74500</v>
      </c>
      <c r="K69" s="60">
        <v>69600</v>
      </c>
      <c r="L69" s="3"/>
    </row>
    <row r="70" spans="1:12" ht="12" customHeight="1">
      <c r="B70" s="48">
        <v>65</v>
      </c>
      <c r="C70" s="56">
        <v>20</v>
      </c>
      <c r="D70" s="56" t="s">
        <v>4</v>
      </c>
      <c r="E70" s="56">
        <v>42</v>
      </c>
      <c r="F70" s="57">
        <v>3065</v>
      </c>
      <c r="G70" s="58">
        <v>3.3000000000000002E-2</v>
      </c>
      <c r="H70" s="59" t="s">
        <v>195</v>
      </c>
      <c r="I70" s="43">
        <f t="shared" ref="I70:I133" si="2">J70+2000</f>
        <v>76500</v>
      </c>
      <c r="J70" s="49">
        <f t="shared" si="1"/>
        <v>74500</v>
      </c>
      <c r="K70" s="60">
        <v>69600</v>
      </c>
      <c r="L70" s="3"/>
    </row>
    <row r="71" spans="1:12" ht="12" customHeight="1">
      <c r="B71" s="48">
        <v>66</v>
      </c>
      <c r="C71" s="56">
        <v>20</v>
      </c>
      <c r="D71" s="56" t="s">
        <v>4</v>
      </c>
      <c r="E71" s="56">
        <v>45</v>
      </c>
      <c r="F71" s="57">
        <v>3428</v>
      </c>
      <c r="G71" s="58">
        <f>0.043+0.053+0.071+0.071+0.071+0.071+0.071-0.215</f>
        <v>0.23600000000000002</v>
      </c>
      <c r="H71" s="59" t="s">
        <v>195</v>
      </c>
      <c r="I71" s="43">
        <f t="shared" si="2"/>
        <v>76500</v>
      </c>
      <c r="J71" s="49">
        <f t="shared" ref="J71:J134" si="3">ROUNDUP(K71*1.07,-2)</f>
        <v>74500</v>
      </c>
      <c r="K71" s="60">
        <v>69600</v>
      </c>
      <c r="L71" s="3"/>
    </row>
    <row r="72" spans="1:12" ht="12" customHeight="1">
      <c r="B72" s="48">
        <v>67</v>
      </c>
      <c r="C72" s="56">
        <v>20</v>
      </c>
      <c r="D72" s="56" t="s">
        <v>4</v>
      </c>
      <c r="E72" s="56">
        <v>45</v>
      </c>
      <c r="F72" s="57">
        <v>5685</v>
      </c>
      <c r="G72" s="58">
        <v>7.0000000000000007E-2</v>
      </c>
      <c r="H72" s="59" t="s">
        <v>195</v>
      </c>
      <c r="I72" s="43">
        <f t="shared" si="2"/>
        <v>76500</v>
      </c>
      <c r="J72" s="49">
        <f t="shared" si="3"/>
        <v>74500</v>
      </c>
      <c r="K72" s="60">
        <v>69600</v>
      </c>
      <c r="L72" s="3"/>
    </row>
    <row r="73" spans="1:12" ht="12" customHeight="1">
      <c r="B73" s="48">
        <v>68</v>
      </c>
      <c r="C73" s="56">
        <v>20</v>
      </c>
      <c r="D73" s="56" t="s">
        <v>4</v>
      </c>
      <c r="E73" s="74">
        <v>45</v>
      </c>
      <c r="F73" s="77">
        <v>5680</v>
      </c>
      <c r="G73" s="75">
        <f>1.325-0.07-0.4-0.07-0.146-0.07-0.07-0.071</f>
        <v>0.42799999999999994</v>
      </c>
      <c r="H73" s="78" t="s">
        <v>195</v>
      </c>
      <c r="I73" s="43">
        <f t="shared" si="2"/>
        <v>76500</v>
      </c>
      <c r="J73" s="49">
        <f t="shared" si="3"/>
        <v>74500</v>
      </c>
      <c r="K73" s="60">
        <v>69600</v>
      </c>
      <c r="L73" s="3"/>
    </row>
    <row r="74" spans="1:12" ht="12" customHeight="1">
      <c r="B74" s="48">
        <v>69</v>
      </c>
      <c r="C74" s="56">
        <v>20</v>
      </c>
      <c r="D74" s="56" t="s">
        <v>4</v>
      </c>
      <c r="E74" s="56">
        <v>48</v>
      </c>
      <c r="F74" s="57">
        <v>2020</v>
      </c>
      <c r="G74" s="58">
        <f>0.435-0.074-0.035</f>
        <v>0.32599999999999996</v>
      </c>
      <c r="H74" s="59" t="s">
        <v>195</v>
      </c>
      <c r="I74" s="43">
        <f t="shared" si="2"/>
        <v>76500</v>
      </c>
      <c r="J74" s="49">
        <f t="shared" si="3"/>
        <v>74500</v>
      </c>
      <c r="K74" s="60">
        <v>69600</v>
      </c>
      <c r="L74" s="3"/>
    </row>
    <row r="75" spans="1:12" ht="12" customHeight="1">
      <c r="B75" s="48">
        <v>70</v>
      </c>
      <c r="C75" s="56">
        <v>20</v>
      </c>
      <c r="D75" s="56" t="s">
        <v>4</v>
      </c>
      <c r="E75" s="56">
        <v>48</v>
      </c>
      <c r="F75" s="57">
        <v>2040</v>
      </c>
      <c r="G75" s="58">
        <v>0.62</v>
      </c>
      <c r="H75" s="59" t="s">
        <v>195</v>
      </c>
      <c r="I75" s="43">
        <f t="shared" si="2"/>
        <v>76500</v>
      </c>
      <c r="J75" s="49">
        <f t="shared" si="3"/>
        <v>74500</v>
      </c>
      <c r="K75" s="60">
        <v>69600</v>
      </c>
      <c r="L75" s="3"/>
    </row>
    <row r="76" spans="1:12" ht="12" customHeight="1">
      <c r="B76" s="48">
        <v>71</v>
      </c>
      <c r="C76" s="56">
        <v>20</v>
      </c>
      <c r="D76" s="56" t="s">
        <v>4</v>
      </c>
      <c r="E76" s="56">
        <v>48</v>
      </c>
      <c r="F76" s="57">
        <v>2220</v>
      </c>
      <c r="G76" s="58">
        <v>0.13</v>
      </c>
      <c r="H76" s="59" t="s">
        <v>195</v>
      </c>
      <c r="I76" s="43">
        <f t="shared" si="2"/>
        <v>76500</v>
      </c>
      <c r="J76" s="49">
        <f t="shared" si="3"/>
        <v>74500</v>
      </c>
      <c r="K76" s="60">
        <v>69600</v>
      </c>
      <c r="L76" s="3"/>
    </row>
    <row r="77" spans="1:12" ht="12" customHeight="1">
      <c r="B77" s="48">
        <v>72</v>
      </c>
      <c r="C77" s="56">
        <v>20</v>
      </c>
      <c r="D77" s="56" t="s">
        <v>4</v>
      </c>
      <c r="E77" s="56">
        <v>48</v>
      </c>
      <c r="F77" s="57">
        <v>2320</v>
      </c>
      <c r="G77" s="58">
        <v>3.3000000000000002E-2</v>
      </c>
      <c r="H77" s="78" t="s">
        <v>195</v>
      </c>
      <c r="I77" s="43">
        <f t="shared" si="2"/>
        <v>76500</v>
      </c>
      <c r="J77" s="49">
        <f t="shared" si="3"/>
        <v>74500</v>
      </c>
      <c r="K77" s="60">
        <v>69600</v>
      </c>
      <c r="L77" s="3"/>
    </row>
    <row r="78" spans="1:12" ht="12" customHeight="1">
      <c r="B78" s="48">
        <v>73</v>
      </c>
      <c r="C78" s="56">
        <v>20</v>
      </c>
      <c r="D78" s="56" t="s">
        <v>4</v>
      </c>
      <c r="E78" s="56">
        <v>48</v>
      </c>
      <c r="F78" s="57">
        <v>2850</v>
      </c>
      <c r="G78" s="58">
        <f>0.04+0.061</f>
        <v>0.10100000000000001</v>
      </c>
      <c r="H78" s="59" t="s">
        <v>195</v>
      </c>
      <c r="I78" s="43">
        <f t="shared" si="2"/>
        <v>76500</v>
      </c>
      <c r="J78" s="49">
        <f t="shared" si="3"/>
        <v>74500</v>
      </c>
      <c r="K78" s="60">
        <v>69600</v>
      </c>
      <c r="L78" s="3"/>
    </row>
    <row r="79" spans="1:12" ht="12" customHeight="1">
      <c r="B79" s="48">
        <v>74</v>
      </c>
      <c r="C79" s="74">
        <v>20</v>
      </c>
      <c r="D79" s="74" t="s">
        <v>4</v>
      </c>
      <c r="E79" s="56">
        <v>65</v>
      </c>
      <c r="F79" s="57">
        <v>2170</v>
      </c>
      <c r="G79" s="58">
        <f>0.9-0.056-0.39-0.065-0.24</f>
        <v>0.14899999999999997</v>
      </c>
      <c r="H79" s="59" t="s">
        <v>195</v>
      </c>
      <c r="I79" s="43">
        <f t="shared" si="2"/>
        <v>76500</v>
      </c>
      <c r="J79" s="49">
        <f t="shared" si="3"/>
        <v>74500</v>
      </c>
      <c r="K79" s="60">
        <v>69600</v>
      </c>
      <c r="L79" s="3"/>
    </row>
    <row r="80" spans="1:12" customFormat="1" ht="12" customHeight="1">
      <c r="A80" s="4"/>
      <c r="B80" s="48">
        <v>75</v>
      </c>
      <c r="C80" s="56">
        <v>20</v>
      </c>
      <c r="D80" s="56" t="s">
        <v>4</v>
      </c>
      <c r="E80" s="56">
        <v>69</v>
      </c>
      <c r="F80" s="57">
        <v>1200</v>
      </c>
      <c r="G80" s="58">
        <v>3.5000000000000003E-2</v>
      </c>
      <c r="H80" s="59" t="s">
        <v>195</v>
      </c>
      <c r="I80" s="43">
        <f t="shared" si="2"/>
        <v>76500</v>
      </c>
      <c r="J80" s="49">
        <f t="shared" si="3"/>
        <v>74500</v>
      </c>
      <c r="K80" s="60">
        <v>69600</v>
      </c>
    </row>
    <row r="81" spans="1:12" ht="12" customHeight="1">
      <c r="B81" s="48">
        <v>76</v>
      </c>
      <c r="C81" s="56">
        <v>20</v>
      </c>
      <c r="D81" s="56" t="s">
        <v>4</v>
      </c>
      <c r="E81" s="56">
        <v>75</v>
      </c>
      <c r="F81" s="57">
        <v>2750</v>
      </c>
      <c r="G81" s="58">
        <f>0.094+0.123</f>
        <v>0.217</v>
      </c>
      <c r="H81" s="59" t="s">
        <v>195</v>
      </c>
      <c r="I81" s="43">
        <f t="shared" si="2"/>
        <v>76500</v>
      </c>
      <c r="J81" s="49">
        <f t="shared" si="3"/>
        <v>74500</v>
      </c>
      <c r="K81" s="60">
        <v>69600</v>
      </c>
      <c r="L81" s="3"/>
    </row>
    <row r="82" spans="1:12" ht="12" customHeight="1">
      <c r="B82" s="48">
        <v>77</v>
      </c>
      <c r="C82" s="56">
        <v>20</v>
      </c>
      <c r="D82" s="56" t="s">
        <v>4</v>
      </c>
      <c r="E82" s="56">
        <v>79</v>
      </c>
      <c r="F82" s="57">
        <v>3900</v>
      </c>
      <c r="G82" s="58">
        <v>0.14899999999999999</v>
      </c>
      <c r="H82" s="59" t="s">
        <v>195</v>
      </c>
      <c r="I82" s="43">
        <f t="shared" si="2"/>
        <v>76500</v>
      </c>
      <c r="J82" s="49">
        <f t="shared" si="3"/>
        <v>74500</v>
      </c>
      <c r="K82" s="60">
        <v>69600</v>
      </c>
      <c r="L82" s="3"/>
    </row>
    <row r="83" spans="1:12" s="5" customFormat="1" ht="12" customHeight="1">
      <c r="B83" s="48">
        <v>78</v>
      </c>
      <c r="C83" s="56">
        <v>20</v>
      </c>
      <c r="D83" s="56" t="s">
        <v>4</v>
      </c>
      <c r="E83" s="56">
        <v>160</v>
      </c>
      <c r="F83" s="57">
        <v>3160</v>
      </c>
      <c r="G83" s="58">
        <v>1.49</v>
      </c>
      <c r="H83" s="59" t="s">
        <v>195</v>
      </c>
      <c r="I83" s="43">
        <f t="shared" si="2"/>
        <v>76500</v>
      </c>
      <c r="J83" s="49">
        <f t="shared" si="3"/>
        <v>74500</v>
      </c>
      <c r="K83" s="60">
        <v>69600</v>
      </c>
      <c r="L83" s="3"/>
    </row>
    <row r="84" spans="1:12" customFormat="1" ht="12" customHeight="1">
      <c r="A84" s="4"/>
      <c r="B84" s="48">
        <v>79</v>
      </c>
      <c r="C84" s="56">
        <v>20</v>
      </c>
      <c r="D84" s="56" t="s">
        <v>4</v>
      </c>
      <c r="E84" s="56">
        <v>220</v>
      </c>
      <c r="F84" s="57">
        <v>1030</v>
      </c>
      <c r="G84" s="58">
        <v>0.35</v>
      </c>
      <c r="H84" s="59" t="s">
        <v>34</v>
      </c>
      <c r="I84" s="43">
        <f t="shared" si="2"/>
        <v>102800</v>
      </c>
      <c r="J84" s="49">
        <f t="shared" si="3"/>
        <v>100800</v>
      </c>
      <c r="K84" s="60">
        <v>94200</v>
      </c>
    </row>
    <row r="85" spans="1:12" ht="12" customHeight="1">
      <c r="B85" s="48">
        <v>80</v>
      </c>
      <c r="C85" s="56">
        <v>20</v>
      </c>
      <c r="D85" s="56" t="s">
        <v>4</v>
      </c>
      <c r="E85" s="56">
        <v>220</v>
      </c>
      <c r="F85" s="57">
        <v>1075</v>
      </c>
      <c r="G85" s="58">
        <v>0.375</v>
      </c>
      <c r="H85" s="59" t="s">
        <v>34</v>
      </c>
      <c r="I85" s="43">
        <f t="shared" si="2"/>
        <v>102800</v>
      </c>
      <c r="J85" s="49">
        <f t="shared" si="3"/>
        <v>100800</v>
      </c>
      <c r="K85" s="60">
        <v>94200</v>
      </c>
      <c r="L85" s="3"/>
    </row>
    <row r="86" spans="1:12" s="2" customFormat="1" ht="12" customHeight="1">
      <c r="B86" s="48">
        <v>81</v>
      </c>
      <c r="C86" s="56">
        <v>20</v>
      </c>
      <c r="D86" s="56" t="s">
        <v>4</v>
      </c>
      <c r="E86" s="56">
        <v>220</v>
      </c>
      <c r="F86" s="57">
        <v>3050</v>
      </c>
      <c r="G86" s="58">
        <v>0.90500000000000003</v>
      </c>
      <c r="H86" s="59" t="s">
        <v>195</v>
      </c>
      <c r="I86" s="43">
        <f t="shared" si="2"/>
        <v>88000</v>
      </c>
      <c r="J86" s="49">
        <f t="shared" si="3"/>
        <v>86000</v>
      </c>
      <c r="K86" s="60">
        <v>80300</v>
      </c>
    </row>
    <row r="87" spans="1:12" customFormat="1" ht="12" customHeight="1">
      <c r="A87" s="4"/>
      <c r="B87" s="48">
        <v>82</v>
      </c>
      <c r="C87" s="56">
        <v>20</v>
      </c>
      <c r="D87" s="56" t="s">
        <v>4</v>
      </c>
      <c r="E87" s="56">
        <v>240</v>
      </c>
      <c r="F87" s="57">
        <v>1020</v>
      </c>
      <c r="G87" s="58">
        <v>0.42899999999999999</v>
      </c>
      <c r="H87" s="59" t="s">
        <v>34</v>
      </c>
      <c r="I87" s="43">
        <f t="shared" si="2"/>
        <v>116500</v>
      </c>
      <c r="J87" s="49">
        <f t="shared" si="3"/>
        <v>114500</v>
      </c>
      <c r="K87" s="60">
        <v>107000</v>
      </c>
    </row>
    <row r="88" spans="1:12" ht="12" customHeight="1">
      <c r="B88" s="48">
        <v>83</v>
      </c>
      <c r="C88" s="56">
        <v>20</v>
      </c>
      <c r="D88" s="56" t="s">
        <v>4</v>
      </c>
      <c r="E88" s="56">
        <v>300</v>
      </c>
      <c r="F88" s="57">
        <v>1900</v>
      </c>
      <c r="G88" s="58">
        <v>1.1399999999999999</v>
      </c>
      <c r="H88" s="59" t="s">
        <v>6</v>
      </c>
      <c r="I88" s="43">
        <f t="shared" si="2"/>
        <v>128000</v>
      </c>
      <c r="J88" s="49">
        <f t="shared" si="3"/>
        <v>126000</v>
      </c>
      <c r="K88" s="60">
        <v>117700</v>
      </c>
      <c r="L88" s="3"/>
    </row>
    <row r="89" spans="1:12" s="2" customFormat="1" ht="12" customHeight="1">
      <c r="B89" s="48">
        <v>84</v>
      </c>
      <c r="C89" s="56">
        <v>20</v>
      </c>
      <c r="D89" s="56" t="s">
        <v>4</v>
      </c>
      <c r="E89" s="56">
        <v>510</v>
      </c>
      <c r="F89" s="57">
        <v>95</v>
      </c>
      <c r="G89" s="58">
        <v>0.17</v>
      </c>
      <c r="H89" s="59" t="s">
        <v>34</v>
      </c>
      <c r="I89" s="43">
        <f t="shared" si="2"/>
        <v>128000</v>
      </c>
      <c r="J89" s="49">
        <f t="shared" si="3"/>
        <v>126000</v>
      </c>
      <c r="K89" s="60">
        <v>117700</v>
      </c>
    </row>
    <row r="90" spans="1:12" s="2" customFormat="1" ht="12" customHeight="1">
      <c r="B90" s="48">
        <v>85</v>
      </c>
      <c r="C90" s="56">
        <v>20</v>
      </c>
      <c r="D90" s="56" t="s">
        <v>4</v>
      </c>
      <c r="E90" s="56">
        <v>700</v>
      </c>
      <c r="F90" s="57">
        <v>345</v>
      </c>
      <c r="G90" s="58">
        <v>1.2549999999999999</v>
      </c>
      <c r="H90" s="59" t="s">
        <v>6</v>
      </c>
      <c r="I90" s="43">
        <f t="shared" si="2"/>
        <v>128000</v>
      </c>
      <c r="J90" s="49">
        <f t="shared" si="3"/>
        <v>126000</v>
      </c>
      <c r="K90" s="60">
        <v>117700</v>
      </c>
    </row>
    <row r="91" spans="1:12" ht="12" customHeight="1">
      <c r="B91" s="48">
        <v>86</v>
      </c>
      <c r="C91" s="56">
        <v>20</v>
      </c>
      <c r="D91" s="56" t="s">
        <v>4</v>
      </c>
      <c r="E91" s="56">
        <v>700</v>
      </c>
      <c r="F91" s="57">
        <v>330</v>
      </c>
      <c r="G91" s="58">
        <v>1.165</v>
      </c>
      <c r="H91" s="59" t="s">
        <v>6</v>
      </c>
      <c r="I91" s="43">
        <f t="shared" si="2"/>
        <v>128000</v>
      </c>
      <c r="J91" s="49">
        <f t="shared" si="3"/>
        <v>126000</v>
      </c>
      <c r="K91" s="60">
        <v>117700</v>
      </c>
      <c r="L91" s="5"/>
    </row>
    <row r="92" spans="1:12" customFormat="1" ht="12" customHeight="1">
      <c r="A92" s="4"/>
      <c r="B92" s="48">
        <v>87</v>
      </c>
      <c r="C92" s="56">
        <v>20</v>
      </c>
      <c r="D92" s="56" t="s">
        <v>4</v>
      </c>
      <c r="E92" s="56">
        <v>700</v>
      </c>
      <c r="F92" s="57">
        <v>330</v>
      </c>
      <c r="G92" s="58">
        <v>1.23</v>
      </c>
      <c r="H92" s="59" t="s">
        <v>6</v>
      </c>
      <c r="I92" s="43">
        <f t="shared" si="2"/>
        <v>128000</v>
      </c>
      <c r="J92" s="49">
        <f t="shared" si="3"/>
        <v>126000</v>
      </c>
      <c r="K92" s="60">
        <v>117700</v>
      </c>
    </row>
    <row r="93" spans="1:12" customFormat="1" ht="12" customHeight="1">
      <c r="A93" s="4"/>
      <c r="B93" s="48">
        <v>88</v>
      </c>
      <c r="C93" s="56">
        <v>20</v>
      </c>
      <c r="D93" s="56" t="s">
        <v>4</v>
      </c>
      <c r="E93" s="56">
        <v>700</v>
      </c>
      <c r="F93" s="57">
        <v>330</v>
      </c>
      <c r="G93" s="58">
        <v>1.24</v>
      </c>
      <c r="H93" s="59" t="s">
        <v>6</v>
      </c>
      <c r="I93" s="43">
        <f t="shared" si="2"/>
        <v>128000</v>
      </c>
      <c r="J93" s="49">
        <f t="shared" si="3"/>
        <v>126000</v>
      </c>
      <c r="K93" s="60">
        <v>117700</v>
      </c>
    </row>
    <row r="94" spans="1:12" ht="12" customHeight="1">
      <c r="B94" s="48">
        <v>89</v>
      </c>
      <c r="C94" s="56">
        <v>20</v>
      </c>
      <c r="D94" s="56" t="s">
        <v>4</v>
      </c>
      <c r="E94" s="56">
        <v>700</v>
      </c>
      <c r="F94" s="57">
        <v>330</v>
      </c>
      <c r="G94" s="58">
        <v>1.145</v>
      </c>
      <c r="H94" s="59" t="s">
        <v>6</v>
      </c>
      <c r="I94" s="43">
        <f t="shared" si="2"/>
        <v>128000</v>
      </c>
      <c r="J94" s="49">
        <f t="shared" si="3"/>
        <v>126000</v>
      </c>
      <c r="K94" s="60">
        <v>117700</v>
      </c>
      <c r="L94" s="3"/>
    </row>
    <row r="95" spans="1:12" ht="12" customHeight="1">
      <c r="B95" s="48">
        <v>90</v>
      </c>
      <c r="C95" s="56">
        <v>20</v>
      </c>
      <c r="D95" s="56" t="s">
        <v>4</v>
      </c>
      <c r="E95" s="56">
        <v>1330</v>
      </c>
      <c r="F95" s="57">
        <v>150</v>
      </c>
      <c r="G95" s="58">
        <v>1.6</v>
      </c>
      <c r="H95" s="59" t="s">
        <v>6</v>
      </c>
      <c r="I95" s="43">
        <f t="shared" si="2"/>
        <v>128000</v>
      </c>
      <c r="J95" s="49">
        <f t="shared" si="3"/>
        <v>126000</v>
      </c>
      <c r="K95" s="60">
        <v>117700</v>
      </c>
      <c r="L95" s="5"/>
    </row>
    <row r="96" spans="1:12" customFormat="1" ht="12" customHeight="1">
      <c r="A96" s="4"/>
      <c r="B96" s="48">
        <v>91</v>
      </c>
      <c r="C96" s="56">
        <v>25</v>
      </c>
      <c r="D96" s="56" t="s">
        <v>4</v>
      </c>
      <c r="E96" s="56">
        <v>48</v>
      </c>
      <c r="F96" s="57">
        <v>2300</v>
      </c>
      <c r="G96" s="58">
        <f>0.54-0.032</f>
        <v>0.50800000000000001</v>
      </c>
      <c r="H96" s="59" t="s">
        <v>195</v>
      </c>
      <c r="I96" s="43">
        <f t="shared" si="2"/>
        <v>76500</v>
      </c>
      <c r="J96" s="49">
        <f t="shared" si="3"/>
        <v>74500</v>
      </c>
      <c r="K96" s="60">
        <v>69600</v>
      </c>
    </row>
    <row r="97" spans="1:12" customFormat="1" ht="12" customHeight="1">
      <c r="A97" s="4"/>
      <c r="B97" s="48">
        <v>92</v>
      </c>
      <c r="C97" s="56">
        <v>25</v>
      </c>
      <c r="D97" s="56" t="s">
        <v>4</v>
      </c>
      <c r="E97" s="56">
        <v>61</v>
      </c>
      <c r="F97" s="57">
        <v>1940</v>
      </c>
      <c r="G97" s="58">
        <f>0.255-0.057-0.051</f>
        <v>0.14700000000000002</v>
      </c>
      <c r="H97" s="59" t="s">
        <v>195</v>
      </c>
      <c r="I97" s="43">
        <f t="shared" si="2"/>
        <v>76500</v>
      </c>
      <c r="J97" s="49">
        <f t="shared" si="3"/>
        <v>74500</v>
      </c>
      <c r="K97" s="60">
        <v>69600</v>
      </c>
    </row>
    <row r="98" spans="1:12" ht="12" customHeight="1">
      <c r="B98" s="48">
        <v>93</v>
      </c>
      <c r="C98" s="56">
        <v>25</v>
      </c>
      <c r="D98" s="56" t="s">
        <v>4</v>
      </c>
      <c r="E98" s="56">
        <v>70</v>
      </c>
      <c r="F98" s="57">
        <v>3750</v>
      </c>
      <c r="G98" s="58">
        <f>0.61-0.192-0.205-0.101</f>
        <v>0.11199999999999999</v>
      </c>
      <c r="H98" s="59" t="s">
        <v>195</v>
      </c>
      <c r="I98" s="43">
        <f t="shared" si="2"/>
        <v>76500</v>
      </c>
      <c r="J98" s="49">
        <f t="shared" si="3"/>
        <v>74500</v>
      </c>
      <c r="K98" s="60">
        <v>69600</v>
      </c>
      <c r="L98" s="3"/>
    </row>
    <row r="99" spans="1:12" customFormat="1" ht="12" customHeight="1">
      <c r="A99" s="4"/>
      <c r="B99" s="48">
        <v>94</v>
      </c>
      <c r="C99" s="56">
        <v>30</v>
      </c>
      <c r="D99" s="56" t="s">
        <v>4</v>
      </c>
      <c r="E99" s="56">
        <v>38</v>
      </c>
      <c r="F99" s="57">
        <v>4210</v>
      </c>
      <c r="G99" s="58">
        <f>1.765-0.036</f>
        <v>1.7289999999999999</v>
      </c>
      <c r="H99" s="59" t="s">
        <v>195</v>
      </c>
      <c r="I99" s="43">
        <f t="shared" si="2"/>
        <v>76500</v>
      </c>
      <c r="J99" s="49">
        <f t="shared" si="3"/>
        <v>74500</v>
      </c>
      <c r="K99" s="60">
        <v>69600</v>
      </c>
    </row>
    <row r="100" spans="1:12" ht="12" customHeight="1">
      <c r="B100" s="48">
        <v>95</v>
      </c>
      <c r="C100" s="56">
        <v>30</v>
      </c>
      <c r="D100" s="56" t="s">
        <v>4</v>
      </c>
      <c r="E100" s="56">
        <v>40</v>
      </c>
      <c r="F100" s="57">
        <v>5835</v>
      </c>
      <c r="G100" s="58">
        <v>5.7000000000000002E-2</v>
      </c>
      <c r="H100" s="59" t="s">
        <v>195</v>
      </c>
      <c r="I100" s="43">
        <f t="shared" si="2"/>
        <v>76500</v>
      </c>
      <c r="J100" s="49">
        <f t="shared" si="3"/>
        <v>74500</v>
      </c>
      <c r="K100" s="60">
        <v>69600</v>
      </c>
      <c r="L100" s="3"/>
    </row>
    <row r="101" spans="1:12" customFormat="1" ht="12" customHeight="1">
      <c r="A101" s="4"/>
      <c r="B101" s="48">
        <v>96</v>
      </c>
      <c r="C101" s="56">
        <v>30</v>
      </c>
      <c r="D101" s="56" t="s">
        <v>4</v>
      </c>
      <c r="E101" s="56">
        <v>45</v>
      </c>
      <c r="F101" s="57">
        <v>1870</v>
      </c>
      <c r="G101" s="58">
        <f>0.023+0.024+0.024</f>
        <v>7.1000000000000008E-2</v>
      </c>
      <c r="H101" s="59" t="s">
        <v>195</v>
      </c>
      <c r="I101" s="43">
        <f t="shared" si="2"/>
        <v>76500</v>
      </c>
      <c r="J101" s="49">
        <f t="shared" si="3"/>
        <v>74500</v>
      </c>
      <c r="K101" s="60">
        <v>69600</v>
      </c>
    </row>
    <row r="102" spans="1:12" ht="12" customHeight="1">
      <c r="B102" s="48">
        <v>97</v>
      </c>
      <c r="C102" s="56">
        <v>30</v>
      </c>
      <c r="D102" s="56" t="s">
        <v>4</v>
      </c>
      <c r="E102" s="56">
        <v>45</v>
      </c>
      <c r="F102" s="57">
        <v>2200</v>
      </c>
      <c r="G102" s="58">
        <v>0.35</v>
      </c>
      <c r="H102" s="59" t="s">
        <v>195</v>
      </c>
      <c r="I102" s="43">
        <f t="shared" si="2"/>
        <v>76500</v>
      </c>
      <c r="J102" s="49">
        <f t="shared" si="3"/>
        <v>74500</v>
      </c>
      <c r="K102" s="60">
        <v>69600</v>
      </c>
      <c r="L102" s="3"/>
    </row>
    <row r="103" spans="1:12" customFormat="1" ht="12" customHeight="1">
      <c r="A103" s="4"/>
      <c r="B103" s="48">
        <v>98</v>
      </c>
      <c r="C103" s="56">
        <v>30</v>
      </c>
      <c r="D103" s="56" t="s">
        <v>4</v>
      </c>
      <c r="E103" s="56">
        <v>45</v>
      </c>
      <c r="F103" s="57">
        <v>3690</v>
      </c>
      <c r="G103" s="58">
        <f>1.105-0.046</f>
        <v>1.0589999999999999</v>
      </c>
      <c r="H103" s="59" t="s">
        <v>195</v>
      </c>
      <c r="I103" s="43">
        <f t="shared" si="2"/>
        <v>76500</v>
      </c>
      <c r="J103" s="49">
        <f t="shared" si="3"/>
        <v>74500</v>
      </c>
      <c r="K103" s="60">
        <v>69600</v>
      </c>
    </row>
    <row r="104" spans="1:12" ht="12" customHeight="1">
      <c r="B104" s="48">
        <v>99</v>
      </c>
      <c r="C104" s="56">
        <v>30</v>
      </c>
      <c r="D104" s="56" t="s">
        <v>4</v>
      </c>
      <c r="E104" s="56">
        <v>48</v>
      </c>
      <c r="F104" s="57">
        <v>2200</v>
      </c>
      <c r="G104" s="58">
        <v>0.17</v>
      </c>
      <c r="H104" s="59" t="s">
        <v>195</v>
      </c>
      <c r="I104" s="43">
        <f t="shared" si="2"/>
        <v>76500</v>
      </c>
      <c r="J104" s="49">
        <f t="shared" si="3"/>
        <v>74500</v>
      </c>
      <c r="K104" s="60">
        <v>69600</v>
      </c>
      <c r="L104" s="3"/>
    </row>
    <row r="105" spans="1:12" customFormat="1" ht="12" customHeight="1">
      <c r="A105" s="4"/>
      <c r="B105" s="48">
        <v>100</v>
      </c>
      <c r="C105" s="56">
        <v>30</v>
      </c>
      <c r="D105" s="56" t="s">
        <v>4</v>
      </c>
      <c r="E105" s="56">
        <v>50</v>
      </c>
      <c r="F105" s="57">
        <v>1370</v>
      </c>
      <c r="G105" s="58">
        <v>2.1000000000000001E-2</v>
      </c>
      <c r="H105" s="59" t="s">
        <v>195</v>
      </c>
      <c r="I105" s="43">
        <f t="shared" si="2"/>
        <v>76500</v>
      </c>
      <c r="J105" s="49">
        <f t="shared" si="3"/>
        <v>74500</v>
      </c>
      <c r="K105" s="60">
        <v>69600</v>
      </c>
    </row>
    <row r="106" spans="1:12" s="5" customFormat="1" ht="12" customHeight="1">
      <c r="B106" s="48">
        <v>101</v>
      </c>
      <c r="C106" s="56">
        <v>30</v>
      </c>
      <c r="D106" s="56" t="s">
        <v>4</v>
      </c>
      <c r="E106" s="56">
        <v>65</v>
      </c>
      <c r="F106" s="57">
        <v>2890</v>
      </c>
      <c r="G106" s="58">
        <f>2.245-0.093-0.096-0.075-0.075-0.087</f>
        <v>1.8190000000000002</v>
      </c>
      <c r="H106" s="59" t="s">
        <v>195</v>
      </c>
      <c r="I106" s="43">
        <f t="shared" si="2"/>
        <v>76500</v>
      </c>
      <c r="J106" s="49">
        <f t="shared" si="3"/>
        <v>74500</v>
      </c>
      <c r="K106" s="60">
        <v>69600</v>
      </c>
      <c r="L106" s="3"/>
    </row>
    <row r="107" spans="1:12" s="5" customFormat="1" ht="12" customHeight="1">
      <c r="B107" s="48">
        <v>102</v>
      </c>
      <c r="C107" s="56">
        <v>30</v>
      </c>
      <c r="D107" s="56" t="s">
        <v>4</v>
      </c>
      <c r="E107" s="56">
        <v>70</v>
      </c>
      <c r="F107" s="57">
        <v>2420</v>
      </c>
      <c r="G107" s="58">
        <v>7.1999999999999995E-2</v>
      </c>
      <c r="H107" s="59" t="s">
        <v>195</v>
      </c>
      <c r="I107" s="43">
        <f t="shared" si="2"/>
        <v>76500</v>
      </c>
      <c r="J107" s="49">
        <f t="shared" si="3"/>
        <v>74500</v>
      </c>
      <c r="K107" s="60">
        <v>69600</v>
      </c>
      <c r="L107" s="3"/>
    </row>
    <row r="108" spans="1:12" s="2" customFormat="1" ht="12" customHeight="1">
      <c r="B108" s="48">
        <v>103</v>
      </c>
      <c r="C108" s="56">
        <v>30</v>
      </c>
      <c r="D108" s="56" t="s">
        <v>4</v>
      </c>
      <c r="E108" s="56">
        <v>70</v>
      </c>
      <c r="F108" s="57">
        <v>3590</v>
      </c>
      <c r="G108" s="58">
        <v>0.23</v>
      </c>
      <c r="H108" s="59" t="s">
        <v>195</v>
      </c>
      <c r="I108" s="43">
        <f t="shared" si="2"/>
        <v>76500</v>
      </c>
      <c r="J108" s="49">
        <f t="shared" si="3"/>
        <v>74500</v>
      </c>
      <c r="K108" s="60">
        <v>69600</v>
      </c>
    </row>
    <row r="109" spans="1:12" s="5" customFormat="1" ht="12" customHeight="1">
      <c r="B109" s="48">
        <v>104</v>
      </c>
      <c r="C109" s="56">
        <v>30</v>
      </c>
      <c r="D109" s="56" t="s">
        <v>4</v>
      </c>
      <c r="E109" s="56">
        <v>75</v>
      </c>
      <c r="F109" s="57">
        <v>2925</v>
      </c>
      <c r="G109" s="58">
        <v>9.2249999999999996</v>
      </c>
      <c r="H109" s="59" t="s">
        <v>195</v>
      </c>
      <c r="I109" s="43">
        <f t="shared" si="2"/>
        <v>76500</v>
      </c>
      <c r="J109" s="49">
        <f t="shared" si="3"/>
        <v>74500</v>
      </c>
      <c r="K109" s="60">
        <v>69600</v>
      </c>
      <c r="L109" s="3"/>
    </row>
    <row r="110" spans="1:12" ht="12" customHeight="1">
      <c r="B110" s="48">
        <v>105</v>
      </c>
      <c r="C110" s="56">
        <v>30</v>
      </c>
      <c r="D110" s="56" t="s">
        <v>4</v>
      </c>
      <c r="E110" s="56">
        <v>75</v>
      </c>
      <c r="F110" s="57">
        <v>3095</v>
      </c>
      <c r="G110" s="58">
        <v>2.2149999999999999</v>
      </c>
      <c r="H110" s="59" t="s">
        <v>195</v>
      </c>
      <c r="I110" s="43">
        <f t="shared" si="2"/>
        <v>76500</v>
      </c>
      <c r="J110" s="49">
        <f t="shared" si="3"/>
        <v>74500</v>
      </c>
      <c r="K110" s="60">
        <v>69600</v>
      </c>
      <c r="L110" s="3"/>
    </row>
    <row r="111" spans="1:12" customFormat="1" ht="12" customHeight="1">
      <c r="A111" s="4"/>
      <c r="B111" s="48">
        <v>106</v>
      </c>
      <c r="C111" s="56">
        <v>30</v>
      </c>
      <c r="D111" s="56" t="s">
        <v>4</v>
      </c>
      <c r="E111" s="56">
        <v>75</v>
      </c>
      <c r="F111" s="57">
        <v>3590</v>
      </c>
      <c r="G111" s="58">
        <f>5.595-0.246</f>
        <v>5.3490000000000002</v>
      </c>
      <c r="H111" s="59" t="s">
        <v>195</v>
      </c>
      <c r="I111" s="43">
        <f t="shared" si="2"/>
        <v>76500</v>
      </c>
      <c r="J111" s="49">
        <f t="shared" si="3"/>
        <v>74500</v>
      </c>
      <c r="K111" s="60">
        <v>69600</v>
      </c>
    </row>
    <row r="112" spans="1:12" s="5" customFormat="1" ht="12" customHeight="1">
      <c r="B112" s="48">
        <v>107</v>
      </c>
      <c r="C112" s="56">
        <v>30</v>
      </c>
      <c r="D112" s="56" t="s">
        <v>4</v>
      </c>
      <c r="E112" s="56">
        <v>75</v>
      </c>
      <c r="F112" s="57">
        <v>3590</v>
      </c>
      <c r="G112" s="58">
        <v>6.7249999999999996</v>
      </c>
      <c r="H112" s="59" t="s">
        <v>195</v>
      </c>
      <c r="I112" s="43">
        <f t="shared" si="2"/>
        <v>76500</v>
      </c>
      <c r="J112" s="49">
        <f t="shared" si="3"/>
        <v>74500</v>
      </c>
      <c r="K112" s="60">
        <v>69600</v>
      </c>
      <c r="L112" s="3"/>
    </row>
    <row r="113" spans="1:12" ht="12" customHeight="1">
      <c r="B113" s="48">
        <v>108</v>
      </c>
      <c r="C113" s="56">
        <v>30</v>
      </c>
      <c r="D113" s="56" t="s">
        <v>4</v>
      </c>
      <c r="E113" s="56">
        <v>75</v>
      </c>
      <c r="F113" s="57">
        <v>4012</v>
      </c>
      <c r="G113" s="58">
        <v>0.13700000000000001</v>
      </c>
      <c r="H113" s="59" t="s">
        <v>195</v>
      </c>
      <c r="I113" s="43">
        <f t="shared" si="2"/>
        <v>76500</v>
      </c>
      <c r="J113" s="49">
        <f t="shared" si="3"/>
        <v>74500</v>
      </c>
      <c r="K113" s="60">
        <v>69600</v>
      </c>
      <c r="L113" s="5"/>
    </row>
    <row r="114" spans="1:12" ht="12" customHeight="1">
      <c r="B114" s="48">
        <v>109</v>
      </c>
      <c r="C114" s="56">
        <v>30</v>
      </c>
      <c r="D114" s="56" t="s">
        <v>4</v>
      </c>
      <c r="E114" s="56">
        <v>75</v>
      </c>
      <c r="F114" s="57">
        <v>5570</v>
      </c>
      <c r="G114" s="58">
        <f>0.191+0.194</f>
        <v>0.38500000000000001</v>
      </c>
      <c r="H114" s="59" t="s">
        <v>195</v>
      </c>
      <c r="I114" s="43">
        <f t="shared" si="2"/>
        <v>76500</v>
      </c>
      <c r="J114" s="49">
        <f t="shared" si="3"/>
        <v>74500</v>
      </c>
      <c r="K114" s="60">
        <v>69600</v>
      </c>
      <c r="L114" s="3"/>
    </row>
    <row r="115" spans="1:12" ht="12" customHeight="1">
      <c r="B115" s="48">
        <v>110</v>
      </c>
      <c r="C115" s="56">
        <v>30</v>
      </c>
      <c r="D115" s="56" t="s">
        <v>4</v>
      </c>
      <c r="E115" s="56">
        <v>195</v>
      </c>
      <c r="F115" s="57">
        <v>1390</v>
      </c>
      <c r="G115" s="58">
        <v>0.38500000000000001</v>
      </c>
      <c r="H115" s="59" t="s">
        <v>6</v>
      </c>
      <c r="I115" s="43">
        <f t="shared" si="2"/>
        <v>98200</v>
      </c>
      <c r="J115" s="49">
        <f t="shared" si="3"/>
        <v>96200</v>
      </c>
      <c r="K115" s="60">
        <v>89900</v>
      </c>
      <c r="L115" s="3"/>
    </row>
    <row r="116" spans="1:12" ht="12" customHeight="1">
      <c r="B116" s="48">
        <v>111</v>
      </c>
      <c r="C116" s="56">
        <v>30</v>
      </c>
      <c r="D116" s="56" t="s">
        <v>4</v>
      </c>
      <c r="E116" s="56">
        <v>200</v>
      </c>
      <c r="F116" s="57">
        <v>1050</v>
      </c>
      <c r="G116" s="58">
        <v>0.28999999999999998</v>
      </c>
      <c r="H116" s="59" t="s">
        <v>34</v>
      </c>
      <c r="I116" s="43">
        <f t="shared" si="2"/>
        <v>102800</v>
      </c>
      <c r="J116" s="49">
        <f t="shared" si="3"/>
        <v>100800</v>
      </c>
      <c r="K116" s="60">
        <v>94200</v>
      </c>
      <c r="L116" s="3"/>
    </row>
    <row r="117" spans="1:12" ht="12" customHeight="1">
      <c r="B117" s="48">
        <v>112</v>
      </c>
      <c r="C117" s="56">
        <v>30</v>
      </c>
      <c r="D117" s="56" t="s">
        <v>4</v>
      </c>
      <c r="E117" s="56">
        <v>200</v>
      </c>
      <c r="F117" s="57">
        <v>1380</v>
      </c>
      <c r="G117" s="58">
        <v>0.40500000000000003</v>
      </c>
      <c r="H117" s="59" t="s">
        <v>6</v>
      </c>
      <c r="I117" s="43">
        <f t="shared" si="2"/>
        <v>98200</v>
      </c>
      <c r="J117" s="49">
        <f t="shared" si="3"/>
        <v>96200</v>
      </c>
      <c r="K117" s="60">
        <v>89900</v>
      </c>
      <c r="L117" s="3"/>
    </row>
    <row r="118" spans="1:12" ht="12" customHeight="1">
      <c r="B118" s="48">
        <v>113</v>
      </c>
      <c r="C118" s="56">
        <v>35</v>
      </c>
      <c r="D118" s="56" t="s">
        <v>4</v>
      </c>
      <c r="E118" s="56">
        <v>10</v>
      </c>
      <c r="F118" s="57">
        <v>4090</v>
      </c>
      <c r="G118" s="58">
        <f>0.016-0.002-0.002</f>
        <v>1.2E-2</v>
      </c>
      <c r="H118" s="59" t="s">
        <v>195</v>
      </c>
      <c r="I118" s="43">
        <f t="shared" si="2"/>
        <v>76500</v>
      </c>
      <c r="J118" s="49">
        <f t="shared" si="3"/>
        <v>74500</v>
      </c>
      <c r="K118" s="60">
        <v>69600</v>
      </c>
      <c r="L118" s="5"/>
    </row>
    <row r="119" spans="1:12" ht="12" customHeight="1">
      <c r="B119" s="48">
        <v>114</v>
      </c>
      <c r="C119" s="56">
        <v>35</v>
      </c>
      <c r="D119" s="56" t="s">
        <v>4</v>
      </c>
      <c r="E119" s="56">
        <v>26</v>
      </c>
      <c r="F119" s="57">
        <v>4000</v>
      </c>
      <c r="G119" s="58">
        <f>0.165-0.01-0.016-0.009</f>
        <v>0.13</v>
      </c>
      <c r="H119" s="59" t="s">
        <v>195</v>
      </c>
      <c r="I119" s="43">
        <f t="shared" si="2"/>
        <v>76500</v>
      </c>
      <c r="J119" s="49">
        <f t="shared" si="3"/>
        <v>74500</v>
      </c>
      <c r="K119" s="60">
        <v>69600</v>
      </c>
      <c r="L119" s="3"/>
    </row>
    <row r="120" spans="1:12" ht="12" customHeight="1">
      <c r="B120" s="48">
        <v>115</v>
      </c>
      <c r="C120" s="56">
        <v>35</v>
      </c>
      <c r="D120" s="56" t="s">
        <v>4</v>
      </c>
      <c r="E120" s="56">
        <v>46</v>
      </c>
      <c r="F120" s="57">
        <v>4020</v>
      </c>
      <c r="G120" s="58">
        <v>5.1999999999999998E-2</v>
      </c>
      <c r="H120" s="59" t="s">
        <v>195</v>
      </c>
      <c r="I120" s="43">
        <f t="shared" si="2"/>
        <v>76500</v>
      </c>
      <c r="J120" s="49">
        <f t="shared" si="3"/>
        <v>74500</v>
      </c>
      <c r="K120" s="60">
        <v>69600</v>
      </c>
      <c r="L120" s="5"/>
    </row>
    <row r="121" spans="1:12" customFormat="1" ht="12" customHeight="1">
      <c r="A121" s="4"/>
      <c r="B121" s="48">
        <v>116</v>
      </c>
      <c r="C121" s="56">
        <v>35</v>
      </c>
      <c r="D121" s="56" t="s">
        <v>4</v>
      </c>
      <c r="E121" s="56">
        <v>40</v>
      </c>
      <c r="F121" s="57">
        <v>1995</v>
      </c>
      <c r="G121" s="58">
        <v>1.9E-2</v>
      </c>
      <c r="H121" s="59" t="s">
        <v>195</v>
      </c>
      <c r="I121" s="43">
        <f t="shared" si="2"/>
        <v>76500</v>
      </c>
      <c r="J121" s="49">
        <f t="shared" si="3"/>
        <v>74500</v>
      </c>
      <c r="K121" s="60">
        <v>69600</v>
      </c>
    </row>
    <row r="122" spans="1:12" s="5" customFormat="1" ht="12" customHeight="1">
      <c r="B122" s="48">
        <v>117</v>
      </c>
      <c r="C122" s="56">
        <v>35</v>
      </c>
      <c r="D122" s="56" t="s">
        <v>4</v>
      </c>
      <c r="E122" s="56">
        <v>40</v>
      </c>
      <c r="F122" s="57">
        <v>2480</v>
      </c>
      <c r="G122" s="58">
        <f>0.22-0.024-0.024-0.12</f>
        <v>5.2000000000000018E-2</v>
      </c>
      <c r="H122" s="59" t="s">
        <v>195</v>
      </c>
      <c r="I122" s="43">
        <f t="shared" si="2"/>
        <v>76500</v>
      </c>
      <c r="J122" s="49">
        <f t="shared" si="3"/>
        <v>74500</v>
      </c>
      <c r="K122" s="60">
        <v>69600</v>
      </c>
      <c r="L122" s="3"/>
    </row>
    <row r="123" spans="1:12" s="5" customFormat="1" ht="12" customHeight="1">
      <c r="B123" s="48">
        <v>118</v>
      </c>
      <c r="C123" s="56">
        <v>35</v>
      </c>
      <c r="D123" s="56" t="s">
        <v>4</v>
      </c>
      <c r="E123" s="56">
        <v>40</v>
      </c>
      <c r="F123" s="57">
        <v>5900</v>
      </c>
      <c r="G123" s="58">
        <f>0.574-0.058-0.058-0.058</f>
        <v>0.39999999999999991</v>
      </c>
      <c r="H123" s="59" t="s">
        <v>253</v>
      </c>
      <c r="I123" s="43">
        <f t="shared" si="2"/>
        <v>76500</v>
      </c>
      <c r="J123" s="49">
        <f t="shared" si="3"/>
        <v>74500</v>
      </c>
      <c r="K123" s="60">
        <v>69600</v>
      </c>
      <c r="L123" s="3"/>
    </row>
    <row r="124" spans="1:12" ht="12" customHeight="1">
      <c r="B124" s="48">
        <v>119</v>
      </c>
      <c r="C124" s="56">
        <v>35</v>
      </c>
      <c r="D124" s="56" t="s">
        <v>4</v>
      </c>
      <c r="E124" s="56">
        <v>42</v>
      </c>
      <c r="F124" s="57">
        <v>2985</v>
      </c>
      <c r="G124" s="58">
        <f>0.51-0.049</f>
        <v>0.46100000000000002</v>
      </c>
      <c r="H124" s="59" t="s">
        <v>195</v>
      </c>
      <c r="I124" s="43">
        <f t="shared" si="2"/>
        <v>76500</v>
      </c>
      <c r="J124" s="49">
        <f t="shared" si="3"/>
        <v>74500</v>
      </c>
      <c r="K124" s="60">
        <v>69600</v>
      </c>
      <c r="L124" s="3"/>
    </row>
    <row r="125" spans="1:12" customFormat="1" ht="12" customHeight="1">
      <c r="A125" s="4"/>
      <c r="B125" s="48">
        <v>120</v>
      </c>
      <c r="C125" s="56">
        <v>35</v>
      </c>
      <c r="D125" s="56" t="s">
        <v>4</v>
      </c>
      <c r="E125" s="56">
        <v>42</v>
      </c>
      <c r="F125" s="57">
        <v>3930</v>
      </c>
      <c r="G125" s="58">
        <v>0.17</v>
      </c>
      <c r="H125" s="59" t="s">
        <v>195</v>
      </c>
      <c r="I125" s="43">
        <f t="shared" si="2"/>
        <v>76500</v>
      </c>
      <c r="J125" s="49">
        <f t="shared" si="3"/>
        <v>74500</v>
      </c>
      <c r="K125" s="60">
        <v>69600</v>
      </c>
    </row>
    <row r="126" spans="1:12" s="5" customFormat="1" ht="12" customHeight="1">
      <c r="B126" s="48">
        <v>121</v>
      </c>
      <c r="C126" s="56">
        <v>35</v>
      </c>
      <c r="D126" s="56" t="s">
        <v>4</v>
      </c>
      <c r="E126" s="56">
        <v>45</v>
      </c>
      <c r="F126" s="57">
        <v>2210</v>
      </c>
      <c r="G126" s="58">
        <f>0.081-0.054</f>
        <v>2.7000000000000003E-2</v>
      </c>
      <c r="H126" s="59" t="s">
        <v>195</v>
      </c>
      <c r="I126" s="43">
        <f t="shared" si="2"/>
        <v>76500</v>
      </c>
      <c r="J126" s="49">
        <f t="shared" si="3"/>
        <v>74500</v>
      </c>
      <c r="K126" s="60">
        <v>69600</v>
      </c>
      <c r="L126" s="3"/>
    </row>
    <row r="127" spans="1:12" ht="12" customHeight="1">
      <c r="B127" s="48">
        <v>122</v>
      </c>
      <c r="C127" s="56">
        <v>35</v>
      </c>
      <c r="D127" s="56" t="s">
        <v>4</v>
      </c>
      <c r="E127" s="56">
        <v>48</v>
      </c>
      <c r="F127" s="57">
        <v>2345</v>
      </c>
      <c r="G127" s="58">
        <f>0.175-0.033</f>
        <v>0.14199999999999999</v>
      </c>
      <c r="H127" s="59" t="s">
        <v>195</v>
      </c>
      <c r="I127" s="43">
        <f t="shared" si="2"/>
        <v>76500</v>
      </c>
      <c r="J127" s="49">
        <f t="shared" si="3"/>
        <v>74500</v>
      </c>
      <c r="K127" s="60">
        <v>69600</v>
      </c>
      <c r="L127" s="3"/>
    </row>
    <row r="128" spans="1:12" s="5" customFormat="1" ht="12" customHeight="1">
      <c r="B128" s="48">
        <v>123</v>
      </c>
      <c r="C128" s="56">
        <v>35</v>
      </c>
      <c r="D128" s="56" t="s">
        <v>4</v>
      </c>
      <c r="E128" s="56">
        <v>70</v>
      </c>
      <c r="F128" s="57">
        <v>6000</v>
      </c>
      <c r="G128" s="58">
        <f>3.77-0.265-0.179-0.321-0.18-0.181-0.181-0.179-0.039-0.061-0.176-0.362-0.119-0.06</f>
        <v>1.4669999999999994</v>
      </c>
      <c r="H128" s="59" t="s">
        <v>195</v>
      </c>
      <c r="I128" s="43">
        <f t="shared" si="2"/>
        <v>76500</v>
      </c>
      <c r="J128" s="49">
        <f t="shared" si="3"/>
        <v>74500</v>
      </c>
      <c r="K128" s="60">
        <v>69600</v>
      </c>
      <c r="L128" s="3"/>
    </row>
    <row r="129" spans="1:12" s="5" customFormat="1" ht="12" customHeight="1">
      <c r="B129" s="48">
        <v>124</v>
      </c>
      <c r="C129" s="56">
        <v>35</v>
      </c>
      <c r="D129" s="56" t="s">
        <v>4</v>
      </c>
      <c r="E129" s="56">
        <v>205</v>
      </c>
      <c r="F129" s="57">
        <v>2125</v>
      </c>
      <c r="G129" s="58">
        <v>0.56999999999999995</v>
      </c>
      <c r="H129" s="59" t="s">
        <v>6</v>
      </c>
      <c r="I129" s="43">
        <f t="shared" si="2"/>
        <v>110900</v>
      </c>
      <c r="J129" s="49">
        <f t="shared" si="3"/>
        <v>108900</v>
      </c>
      <c r="K129" s="60">
        <v>101700</v>
      </c>
      <c r="L129" s="3"/>
    </row>
    <row r="130" spans="1:12" customFormat="1" ht="12" customHeight="1">
      <c r="A130" s="4"/>
      <c r="B130" s="48">
        <v>125</v>
      </c>
      <c r="C130" s="56">
        <v>35</v>
      </c>
      <c r="D130" s="56" t="s">
        <v>4</v>
      </c>
      <c r="E130" s="56">
        <v>210</v>
      </c>
      <c r="F130" s="57">
        <v>1965</v>
      </c>
      <c r="G130" s="58">
        <v>0.57999999999999996</v>
      </c>
      <c r="H130" s="59" t="s">
        <v>6</v>
      </c>
      <c r="I130" s="43">
        <f t="shared" si="2"/>
        <v>110900</v>
      </c>
      <c r="J130" s="49">
        <f t="shared" si="3"/>
        <v>108900</v>
      </c>
      <c r="K130" s="60">
        <v>101700</v>
      </c>
    </row>
    <row r="131" spans="1:12" ht="12" customHeight="1">
      <c r="B131" s="48">
        <v>126</v>
      </c>
      <c r="C131" s="56">
        <v>35</v>
      </c>
      <c r="D131" s="56" t="s">
        <v>4</v>
      </c>
      <c r="E131" s="56">
        <v>215</v>
      </c>
      <c r="F131" s="57">
        <v>1970</v>
      </c>
      <c r="G131" s="58">
        <v>0.57499999999999996</v>
      </c>
      <c r="H131" s="59" t="s">
        <v>34</v>
      </c>
      <c r="I131" s="43">
        <f t="shared" si="2"/>
        <v>110900</v>
      </c>
      <c r="J131" s="49">
        <f t="shared" si="3"/>
        <v>108900</v>
      </c>
      <c r="K131" s="60">
        <v>101700</v>
      </c>
      <c r="L131" s="3"/>
    </row>
    <row r="132" spans="1:12" ht="12" customHeight="1">
      <c r="B132" s="48">
        <v>127</v>
      </c>
      <c r="C132" s="56">
        <v>35</v>
      </c>
      <c r="D132" s="56" t="s">
        <v>4</v>
      </c>
      <c r="E132" s="56">
        <v>230</v>
      </c>
      <c r="F132" s="57">
        <v>2670</v>
      </c>
      <c r="G132" s="58">
        <v>1</v>
      </c>
      <c r="H132" s="59" t="s">
        <v>6</v>
      </c>
      <c r="I132" s="43">
        <f t="shared" si="2"/>
        <v>110900</v>
      </c>
      <c r="J132" s="49">
        <f t="shared" si="3"/>
        <v>108900</v>
      </c>
      <c r="K132" s="60">
        <v>101700</v>
      </c>
      <c r="L132" s="3"/>
    </row>
    <row r="133" spans="1:12" ht="12" customHeight="1">
      <c r="B133" s="48">
        <v>128</v>
      </c>
      <c r="C133" s="56">
        <v>35</v>
      </c>
      <c r="D133" s="56" t="s">
        <v>4</v>
      </c>
      <c r="E133" s="56">
        <v>235</v>
      </c>
      <c r="F133" s="57">
        <v>125</v>
      </c>
      <c r="G133" s="58">
        <v>0.05</v>
      </c>
      <c r="H133" s="59" t="s">
        <v>34</v>
      </c>
      <c r="I133" s="43">
        <f t="shared" si="2"/>
        <v>110900</v>
      </c>
      <c r="J133" s="49">
        <f t="shared" si="3"/>
        <v>108900</v>
      </c>
      <c r="K133" s="60">
        <v>101700</v>
      </c>
      <c r="L133" s="3"/>
    </row>
    <row r="134" spans="1:12" ht="12" customHeight="1">
      <c r="B134" s="48">
        <v>129</v>
      </c>
      <c r="C134" s="56">
        <v>35</v>
      </c>
      <c r="D134" s="56" t="s">
        <v>4</v>
      </c>
      <c r="E134" s="56">
        <v>240</v>
      </c>
      <c r="F134" s="57">
        <v>1915</v>
      </c>
      <c r="G134" s="58">
        <v>0.69499999999999995</v>
      </c>
      <c r="H134" s="59" t="s">
        <v>6</v>
      </c>
      <c r="I134" s="43">
        <f t="shared" ref="I134:I197" si="4">J134+2000</f>
        <v>110900</v>
      </c>
      <c r="J134" s="49">
        <f t="shared" si="3"/>
        <v>108900</v>
      </c>
      <c r="K134" s="60">
        <v>101700</v>
      </c>
      <c r="L134" s="3"/>
    </row>
    <row r="135" spans="1:12" ht="12" customHeight="1">
      <c r="B135" s="48">
        <v>130</v>
      </c>
      <c r="C135" s="56">
        <v>35</v>
      </c>
      <c r="D135" s="56" t="s">
        <v>4</v>
      </c>
      <c r="E135" s="56">
        <v>250</v>
      </c>
      <c r="F135" s="57">
        <v>1880</v>
      </c>
      <c r="G135" s="58">
        <v>0.755</v>
      </c>
      <c r="H135" s="59" t="s">
        <v>34</v>
      </c>
      <c r="I135" s="43">
        <f t="shared" si="4"/>
        <v>110900</v>
      </c>
      <c r="J135" s="49">
        <f t="shared" ref="J135:J198" si="5">ROUNDUP(K135*1.07,-2)</f>
        <v>108900</v>
      </c>
      <c r="K135" s="60">
        <v>101700</v>
      </c>
      <c r="L135" s="3"/>
    </row>
    <row r="136" spans="1:12" ht="12" customHeight="1">
      <c r="B136" s="48">
        <v>131</v>
      </c>
      <c r="C136" s="56">
        <v>35</v>
      </c>
      <c r="D136" s="56" t="s">
        <v>4</v>
      </c>
      <c r="E136" s="56">
        <v>250</v>
      </c>
      <c r="F136" s="57">
        <v>1970</v>
      </c>
      <c r="G136" s="58">
        <v>0.77500000000000002</v>
      </c>
      <c r="H136" s="59" t="s">
        <v>6</v>
      </c>
      <c r="I136" s="43">
        <f t="shared" si="4"/>
        <v>110900</v>
      </c>
      <c r="J136" s="49">
        <f t="shared" si="5"/>
        <v>108900</v>
      </c>
      <c r="K136" s="60">
        <v>101700</v>
      </c>
      <c r="L136" s="3"/>
    </row>
    <row r="137" spans="1:12" ht="12" customHeight="1">
      <c r="B137" s="48">
        <v>132</v>
      </c>
      <c r="C137" s="56">
        <v>35</v>
      </c>
      <c r="D137" s="56" t="s">
        <v>4</v>
      </c>
      <c r="E137" s="56">
        <v>255</v>
      </c>
      <c r="F137" s="57">
        <v>145</v>
      </c>
      <c r="G137" s="58">
        <v>7.0000000000000007E-2</v>
      </c>
      <c r="H137" s="59" t="s">
        <v>6</v>
      </c>
      <c r="I137" s="43">
        <f t="shared" si="4"/>
        <v>110900</v>
      </c>
      <c r="J137" s="49">
        <f t="shared" si="5"/>
        <v>108900</v>
      </c>
      <c r="K137" s="60">
        <v>101700</v>
      </c>
      <c r="L137" s="3"/>
    </row>
    <row r="138" spans="1:12" ht="12" customHeight="1">
      <c r="B138" s="48">
        <v>133</v>
      </c>
      <c r="C138" s="56">
        <v>35</v>
      </c>
      <c r="D138" s="56" t="s">
        <v>4</v>
      </c>
      <c r="E138" s="56">
        <v>260</v>
      </c>
      <c r="F138" s="57">
        <v>1895</v>
      </c>
      <c r="G138" s="58">
        <v>0.83</v>
      </c>
      <c r="H138" s="59" t="s">
        <v>6</v>
      </c>
      <c r="I138" s="43">
        <f t="shared" si="4"/>
        <v>110900</v>
      </c>
      <c r="J138" s="49">
        <f t="shared" si="5"/>
        <v>108900</v>
      </c>
      <c r="K138" s="60">
        <v>101700</v>
      </c>
      <c r="L138" s="3"/>
    </row>
    <row r="139" spans="1:12" ht="12" customHeight="1">
      <c r="B139" s="48">
        <v>134</v>
      </c>
      <c r="C139" s="56">
        <v>35</v>
      </c>
      <c r="D139" s="56" t="s">
        <v>4</v>
      </c>
      <c r="E139" s="56">
        <v>260</v>
      </c>
      <c r="F139" s="57">
        <v>1940</v>
      </c>
      <c r="G139" s="58">
        <v>0.84</v>
      </c>
      <c r="H139" s="59" t="s">
        <v>6</v>
      </c>
      <c r="I139" s="43">
        <f t="shared" si="4"/>
        <v>110900</v>
      </c>
      <c r="J139" s="49">
        <f t="shared" si="5"/>
        <v>108900</v>
      </c>
      <c r="K139" s="60">
        <v>101700</v>
      </c>
      <c r="L139" s="3"/>
    </row>
    <row r="140" spans="1:12" ht="12" customHeight="1">
      <c r="B140" s="48">
        <v>135</v>
      </c>
      <c r="C140" s="56">
        <v>35</v>
      </c>
      <c r="D140" s="56" t="s">
        <v>4</v>
      </c>
      <c r="E140" s="56">
        <v>265</v>
      </c>
      <c r="F140" s="57">
        <v>1880</v>
      </c>
      <c r="G140" s="58">
        <v>0.85499999999999998</v>
      </c>
      <c r="H140" s="59" t="s">
        <v>6</v>
      </c>
      <c r="I140" s="43">
        <f t="shared" si="4"/>
        <v>110900</v>
      </c>
      <c r="J140" s="49">
        <f t="shared" si="5"/>
        <v>108900</v>
      </c>
      <c r="K140" s="60">
        <v>101700</v>
      </c>
      <c r="L140" s="3"/>
    </row>
    <row r="141" spans="1:12" ht="12" customHeight="1">
      <c r="B141" s="48">
        <v>136</v>
      </c>
      <c r="C141" s="56">
        <v>40</v>
      </c>
      <c r="D141" s="56" t="s">
        <v>4</v>
      </c>
      <c r="E141" s="56">
        <v>12</v>
      </c>
      <c r="F141" s="57">
        <v>2820</v>
      </c>
      <c r="G141" s="58">
        <f>0.045-0.002-0.012</f>
        <v>3.0999999999999996E-2</v>
      </c>
      <c r="H141" s="59" t="s">
        <v>195</v>
      </c>
      <c r="I141" s="43">
        <f t="shared" si="4"/>
        <v>76500</v>
      </c>
      <c r="J141" s="49">
        <f t="shared" si="5"/>
        <v>74500</v>
      </c>
      <c r="K141" s="60">
        <v>69600</v>
      </c>
      <c r="L141" s="3"/>
    </row>
    <row r="142" spans="1:12" ht="12" customHeight="1">
      <c r="B142" s="48">
        <v>137</v>
      </c>
      <c r="C142" s="56">
        <v>40</v>
      </c>
      <c r="D142" s="56" t="s">
        <v>4</v>
      </c>
      <c r="E142" s="56">
        <v>16.8</v>
      </c>
      <c r="F142" s="57">
        <v>3100</v>
      </c>
      <c r="G142" s="58">
        <f>0.185-0.03-0.021-0.06-0.005-0.005</f>
        <v>6.4000000000000001E-2</v>
      </c>
      <c r="H142" s="59" t="s">
        <v>195</v>
      </c>
      <c r="I142" s="43">
        <f t="shared" si="4"/>
        <v>76500</v>
      </c>
      <c r="J142" s="49">
        <f t="shared" si="5"/>
        <v>74500</v>
      </c>
      <c r="K142" s="60">
        <v>69600</v>
      </c>
      <c r="L142" s="3"/>
    </row>
    <row r="143" spans="1:12" ht="12" customHeight="1">
      <c r="B143" s="48">
        <v>138</v>
      </c>
      <c r="C143" s="56">
        <v>40</v>
      </c>
      <c r="D143" s="56" t="s">
        <v>4</v>
      </c>
      <c r="E143" s="56">
        <v>20</v>
      </c>
      <c r="F143" s="57">
        <v>3110</v>
      </c>
      <c r="G143" s="58">
        <f>0.008+0.009+0.01+0.013</f>
        <v>0.04</v>
      </c>
      <c r="H143" s="59" t="s">
        <v>195</v>
      </c>
      <c r="I143" s="43">
        <f t="shared" si="4"/>
        <v>76500</v>
      </c>
      <c r="J143" s="49">
        <f t="shared" si="5"/>
        <v>74500</v>
      </c>
      <c r="K143" s="60">
        <v>69600</v>
      </c>
      <c r="L143" s="3"/>
    </row>
    <row r="144" spans="1:12" customFormat="1" ht="12" customHeight="1">
      <c r="A144" s="4"/>
      <c r="B144" s="48">
        <v>139</v>
      </c>
      <c r="C144" s="56">
        <v>40</v>
      </c>
      <c r="D144" s="56" t="s">
        <v>4</v>
      </c>
      <c r="E144" s="56">
        <v>22</v>
      </c>
      <c r="F144" s="57">
        <v>6035</v>
      </c>
      <c r="G144" s="58">
        <f>0.285-0.053-0.035-0.071</f>
        <v>0.126</v>
      </c>
      <c r="H144" s="59" t="s">
        <v>195</v>
      </c>
      <c r="I144" s="43">
        <f t="shared" si="4"/>
        <v>76500</v>
      </c>
      <c r="J144" s="49">
        <f t="shared" si="5"/>
        <v>74500</v>
      </c>
      <c r="K144" s="60">
        <v>69600</v>
      </c>
    </row>
    <row r="145" spans="1:12" ht="12" customHeight="1">
      <c r="B145" s="48">
        <v>140</v>
      </c>
      <c r="C145" s="56">
        <v>40</v>
      </c>
      <c r="D145" s="56" t="s">
        <v>4</v>
      </c>
      <c r="E145" s="56">
        <v>25</v>
      </c>
      <c r="F145" s="57">
        <v>5790</v>
      </c>
      <c r="G145" s="58">
        <v>8.9999999999999993E-3</v>
      </c>
      <c r="H145" s="59" t="s">
        <v>195</v>
      </c>
      <c r="I145" s="43">
        <f t="shared" si="4"/>
        <v>76500</v>
      </c>
      <c r="J145" s="49">
        <f t="shared" si="5"/>
        <v>74500</v>
      </c>
      <c r="K145" s="60">
        <v>69600</v>
      </c>
      <c r="L145" s="3"/>
    </row>
    <row r="146" spans="1:12" ht="12" customHeight="1">
      <c r="B146" s="48">
        <v>141</v>
      </c>
      <c r="C146" s="56">
        <v>40</v>
      </c>
      <c r="D146" s="56" t="s">
        <v>4</v>
      </c>
      <c r="E146" s="56">
        <v>25</v>
      </c>
      <c r="F146" s="57">
        <v>5800</v>
      </c>
      <c r="G146" s="58">
        <f>0.782-0.155-0.066-0.044-0.022-0.089-0.044-0.065-0.044-0.022-0.044</f>
        <v>0.18699999999999994</v>
      </c>
      <c r="H146" s="59"/>
      <c r="I146" s="43">
        <f t="shared" si="4"/>
        <v>76500</v>
      </c>
      <c r="J146" s="49">
        <f t="shared" si="5"/>
        <v>74500</v>
      </c>
      <c r="K146" s="60">
        <v>69600</v>
      </c>
      <c r="L146" s="3"/>
    </row>
    <row r="147" spans="1:12" customFormat="1" ht="12" customHeight="1">
      <c r="A147" s="4"/>
      <c r="B147" s="48">
        <v>142</v>
      </c>
      <c r="C147" s="56">
        <v>40</v>
      </c>
      <c r="D147" s="56" t="s">
        <v>4</v>
      </c>
      <c r="E147" s="56">
        <v>27</v>
      </c>
      <c r="F147" s="57">
        <v>4000</v>
      </c>
      <c r="G147" s="58">
        <f>1.13-0.305-0.5-0.019-0.053-0.055</f>
        <v>0.19799999999999995</v>
      </c>
      <c r="H147" s="59" t="s">
        <v>195</v>
      </c>
      <c r="I147" s="43">
        <f t="shared" si="4"/>
        <v>76500</v>
      </c>
      <c r="J147" s="49">
        <f t="shared" si="5"/>
        <v>74500</v>
      </c>
      <c r="K147" s="60">
        <v>69600</v>
      </c>
    </row>
    <row r="148" spans="1:12" customFormat="1" ht="12" customHeight="1">
      <c r="A148" s="4"/>
      <c r="B148" s="48">
        <v>143</v>
      </c>
      <c r="C148" s="56">
        <v>40</v>
      </c>
      <c r="D148" s="56" t="s">
        <v>4</v>
      </c>
      <c r="E148" s="56">
        <v>26</v>
      </c>
      <c r="F148" s="57">
        <v>5500</v>
      </c>
      <c r="G148" s="58">
        <v>4.5999999999999999E-2</v>
      </c>
      <c r="H148" s="59" t="s">
        <v>195</v>
      </c>
      <c r="I148" s="43">
        <f t="shared" si="4"/>
        <v>76500</v>
      </c>
      <c r="J148" s="49">
        <f t="shared" si="5"/>
        <v>74500</v>
      </c>
      <c r="K148" s="60">
        <v>69600</v>
      </c>
    </row>
    <row r="149" spans="1:12" ht="12" customHeight="1">
      <c r="B149" s="48">
        <v>144</v>
      </c>
      <c r="C149" s="56">
        <v>40</v>
      </c>
      <c r="D149" s="56" t="s">
        <v>4</v>
      </c>
      <c r="E149" s="56">
        <v>42</v>
      </c>
      <c r="F149" s="57">
        <v>5060</v>
      </c>
      <c r="G149" s="58">
        <f>1.045-0.056-0.054</f>
        <v>0.93499999999999983</v>
      </c>
      <c r="H149" s="59" t="s">
        <v>195</v>
      </c>
      <c r="I149" s="43">
        <f t="shared" si="4"/>
        <v>76500</v>
      </c>
      <c r="J149" s="49">
        <f t="shared" si="5"/>
        <v>74500</v>
      </c>
      <c r="K149" s="60">
        <v>69600</v>
      </c>
      <c r="L149" s="3"/>
    </row>
    <row r="150" spans="1:12" ht="12" customHeight="1">
      <c r="B150" s="48">
        <v>145</v>
      </c>
      <c r="C150" s="56">
        <v>40</v>
      </c>
      <c r="D150" s="56" t="s">
        <v>4</v>
      </c>
      <c r="E150" s="56">
        <v>45</v>
      </c>
      <c r="F150" s="57">
        <v>1870</v>
      </c>
      <c r="G150" s="58">
        <v>0.79500000000000004</v>
      </c>
      <c r="H150" s="59" t="s">
        <v>195</v>
      </c>
      <c r="I150" s="43">
        <f t="shared" si="4"/>
        <v>76500</v>
      </c>
      <c r="J150" s="49">
        <f t="shared" si="5"/>
        <v>74500</v>
      </c>
      <c r="K150" s="60">
        <v>69600</v>
      </c>
      <c r="L150" s="3"/>
    </row>
    <row r="151" spans="1:12" ht="12" customHeight="1">
      <c r="B151" s="48">
        <v>146</v>
      </c>
      <c r="C151" s="56">
        <v>40</v>
      </c>
      <c r="D151" s="56" t="s">
        <v>4</v>
      </c>
      <c r="E151" s="56">
        <v>58</v>
      </c>
      <c r="F151" s="57">
        <v>2290</v>
      </c>
      <c r="G151" s="58">
        <f>0.039+0.04+0.047-0.039-0.04</f>
        <v>4.6999999999999993E-2</v>
      </c>
      <c r="H151" s="59" t="s">
        <v>195</v>
      </c>
      <c r="I151" s="43">
        <f t="shared" si="4"/>
        <v>76500</v>
      </c>
      <c r="J151" s="49">
        <f t="shared" si="5"/>
        <v>74500</v>
      </c>
      <c r="K151" s="60">
        <v>69600</v>
      </c>
      <c r="L151" s="5"/>
    </row>
    <row r="152" spans="1:12" ht="12" customHeight="1">
      <c r="B152" s="48">
        <v>147</v>
      </c>
      <c r="C152" s="56">
        <v>40</v>
      </c>
      <c r="D152" s="56" t="s">
        <v>4</v>
      </c>
      <c r="E152" s="56">
        <v>64</v>
      </c>
      <c r="F152" s="57">
        <v>1565</v>
      </c>
      <c r="G152" s="58">
        <v>3.9E-2</v>
      </c>
      <c r="H152" s="59" t="s">
        <v>195</v>
      </c>
      <c r="I152" s="43">
        <f t="shared" si="4"/>
        <v>76500</v>
      </c>
      <c r="J152" s="49">
        <f t="shared" si="5"/>
        <v>74500</v>
      </c>
      <c r="K152" s="60">
        <v>69600</v>
      </c>
      <c r="L152" s="3"/>
    </row>
    <row r="153" spans="1:12" ht="12" customHeight="1">
      <c r="B153" s="48">
        <v>148</v>
      </c>
      <c r="C153" s="56">
        <v>40</v>
      </c>
      <c r="D153" s="56" t="s">
        <v>4</v>
      </c>
      <c r="E153" s="56">
        <v>200</v>
      </c>
      <c r="F153" s="57">
        <v>2275</v>
      </c>
      <c r="G153" s="58">
        <v>0.61</v>
      </c>
      <c r="H153" s="59" t="s">
        <v>6</v>
      </c>
      <c r="I153" s="43">
        <f t="shared" si="4"/>
        <v>88000</v>
      </c>
      <c r="J153" s="49">
        <f t="shared" si="5"/>
        <v>86000</v>
      </c>
      <c r="K153" s="60">
        <v>80300</v>
      </c>
      <c r="L153" s="3"/>
    </row>
    <row r="154" spans="1:12" customFormat="1" ht="12" customHeight="1">
      <c r="A154" s="4"/>
      <c r="B154" s="48">
        <v>149</v>
      </c>
      <c r="C154" s="56">
        <v>40</v>
      </c>
      <c r="D154" s="56" t="s">
        <v>4</v>
      </c>
      <c r="E154" s="56">
        <v>210</v>
      </c>
      <c r="F154" s="57">
        <v>1385</v>
      </c>
      <c r="G154" s="58">
        <v>0.45</v>
      </c>
      <c r="H154" s="59" t="s">
        <v>6</v>
      </c>
      <c r="I154" s="43">
        <f t="shared" si="4"/>
        <v>88000</v>
      </c>
      <c r="J154" s="49">
        <f t="shared" si="5"/>
        <v>86000</v>
      </c>
      <c r="K154" s="60">
        <v>80300</v>
      </c>
    </row>
    <row r="155" spans="1:12" ht="12" customHeight="1">
      <c r="B155" s="48">
        <v>150</v>
      </c>
      <c r="C155" s="56">
        <v>40</v>
      </c>
      <c r="D155" s="56" t="s">
        <v>4</v>
      </c>
      <c r="E155" s="56">
        <v>210</v>
      </c>
      <c r="F155" s="57">
        <v>1550</v>
      </c>
      <c r="G155" s="58">
        <v>0.46</v>
      </c>
      <c r="H155" s="59" t="s">
        <v>6</v>
      </c>
      <c r="I155" s="43">
        <f t="shared" si="4"/>
        <v>88000</v>
      </c>
      <c r="J155" s="49">
        <f t="shared" si="5"/>
        <v>86000</v>
      </c>
      <c r="K155" s="60">
        <v>80300</v>
      </c>
      <c r="L155" s="3"/>
    </row>
    <row r="156" spans="1:12" ht="12" customHeight="1">
      <c r="B156" s="48">
        <v>151</v>
      </c>
      <c r="C156" s="56">
        <v>40</v>
      </c>
      <c r="D156" s="56" t="s">
        <v>4</v>
      </c>
      <c r="E156" s="56">
        <v>220</v>
      </c>
      <c r="F156" s="57">
        <v>1920</v>
      </c>
      <c r="G156" s="58">
        <v>0.53</v>
      </c>
      <c r="H156" s="59" t="s">
        <v>6</v>
      </c>
      <c r="I156" s="43">
        <f t="shared" si="4"/>
        <v>88000</v>
      </c>
      <c r="J156" s="49">
        <f t="shared" si="5"/>
        <v>86000</v>
      </c>
      <c r="K156" s="60">
        <v>80300</v>
      </c>
      <c r="L156" s="3"/>
    </row>
    <row r="157" spans="1:12" ht="12" customHeight="1">
      <c r="B157" s="48">
        <v>152</v>
      </c>
      <c r="C157" s="56">
        <v>40</v>
      </c>
      <c r="D157" s="56" t="s">
        <v>4</v>
      </c>
      <c r="E157" s="56">
        <v>225</v>
      </c>
      <c r="F157" s="57">
        <v>2350</v>
      </c>
      <c r="G157" s="58">
        <v>0.86499999999999999</v>
      </c>
      <c r="H157" s="59" t="s">
        <v>34</v>
      </c>
      <c r="I157" s="43">
        <f t="shared" si="4"/>
        <v>109200</v>
      </c>
      <c r="J157" s="49">
        <f t="shared" si="5"/>
        <v>107200</v>
      </c>
      <c r="K157" s="60">
        <v>100100</v>
      </c>
      <c r="L157" s="3"/>
    </row>
    <row r="158" spans="1:12" ht="12" customHeight="1">
      <c r="B158" s="48">
        <v>153</v>
      </c>
      <c r="C158" s="56">
        <v>40</v>
      </c>
      <c r="D158" s="56" t="s">
        <v>4</v>
      </c>
      <c r="E158" s="56">
        <v>280</v>
      </c>
      <c r="F158" s="57">
        <v>2070</v>
      </c>
      <c r="G158" s="58">
        <v>0.56499999999999995</v>
      </c>
      <c r="H158" s="59" t="s">
        <v>6</v>
      </c>
      <c r="I158" s="43">
        <f t="shared" si="4"/>
        <v>110900</v>
      </c>
      <c r="J158" s="49">
        <f t="shared" si="5"/>
        <v>108900</v>
      </c>
      <c r="K158" s="60">
        <v>101700</v>
      </c>
      <c r="L158" s="3"/>
    </row>
    <row r="159" spans="1:12" ht="12" customHeight="1">
      <c r="B159" s="48">
        <v>154</v>
      </c>
      <c r="C159" s="56">
        <v>45</v>
      </c>
      <c r="D159" s="56" t="s">
        <v>4</v>
      </c>
      <c r="E159" s="56">
        <v>9</v>
      </c>
      <c r="F159" s="57">
        <v>3850</v>
      </c>
      <c r="G159" s="58">
        <f>0.188-0.003-0.004-0.002-0.04-0.1</f>
        <v>3.8999999999999979E-2</v>
      </c>
      <c r="H159" s="59" t="s">
        <v>218</v>
      </c>
      <c r="I159" s="43">
        <f t="shared" si="4"/>
        <v>82200</v>
      </c>
      <c r="J159" s="49">
        <f t="shared" si="5"/>
        <v>80200</v>
      </c>
      <c r="K159" s="60">
        <v>74900</v>
      </c>
      <c r="L159" s="3"/>
    </row>
    <row r="160" spans="1:12" customFormat="1" ht="12" customHeight="1">
      <c r="A160" s="4"/>
      <c r="B160" s="48">
        <v>155</v>
      </c>
      <c r="C160" s="56">
        <v>45</v>
      </c>
      <c r="D160" s="56" t="s">
        <v>4</v>
      </c>
      <c r="E160" s="56">
        <v>19</v>
      </c>
      <c r="F160" s="57" t="s">
        <v>197</v>
      </c>
      <c r="G160" s="58">
        <f>0.37-0.115-0.088-0.06-0.015-0.009-0.008</f>
        <v>7.5000000000000011E-2</v>
      </c>
      <c r="H160" s="59" t="s">
        <v>195</v>
      </c>
      <c r="I160" s="43">
        <f t="shared" si="4"/>
        <v>76500</v>
      </c>
      <c r="J160" s="49">
        <f t="shared" si="5"/>
        <v>74500</v>
      </c>
      <c r="K160" s="60">
        <v>69600</v>
      </c>
    </row>
    <row r="161" spans="1:12" ht="12" customHeight="1">
      <c r="B161" s="48">
        <v>156</v>
      </c>
      <c r="C161" s="56">
        <v>45</v>
      </c>
      <c r="D161" s="56" t="s">
        <v>4</v>
      </c>
      <c r="E161" s="56">
        <v>35</v>
      </c>
      <c r="F161" s="57">
        <v>4295</v>
      </c>
      <c r="G161" s="58">
        <f>0.22-0.044-0.089-0.02-0.029</f>
        <v>3.7999999999999992E-2</v>
      </c>
      <c r="H161" s="59" t="s">
        <v>195</v>
      </c>
      <c r="I161" s="43">
        <f t="shared" si="4"/>
        <v>76500</v>
      </c>
      <c r="J161" s="49">
        <f t="shared" si="5"/>
        <v>74500</v>
      </c>
      <c r="K161" s="60">
        <v>69600</v>
      </c>
      <c r="L161" s="3"/>
    </row>
    <row r="162" spans="1:12" customFormat="1" ht="12" customHeight="1">
      <c r="A162" s="4"/>
      <c r="B162" s="48">
        <v>157</v>
      </c>
      <c r="C162" s="56">
        <v>45</v>
      </c>
      <c r="D162" s="56" t="s">
        <v>4</v>
      </c>
      <c r="E162" s="56">
        <v>38</v>
      </c>
      <c r="F162" s="57">
        <v>6180</v>
      </c>
      <c r="G162" s="58">
        <f>0.16-0.054-0.054</f>
        <v>5.2000000000000011E-2</v>
      </c>
      <c r="H162" s="59" t="s">
        <v>195</v>
      </c>
      <c r="I162" s="43">
        <f t="shared" si="4"/>
        <v>76500</v>
      </c>
      <c r="J162" s="49">
        <f t="shared" si="5"/>
        <v>74500</v>
      </c>
      <c r="K162" s="60">
        <v>69600</v>
      </c>
    </row>
    <row r="163" spans="1:12" customFormat="1" ht="12" customHeight="1">
      <c r="A163" s="4"/>
      <c r="B163" s="48">
        <v>158</v>
      </c>
      <c r="C163" s="56">
        <v>45</v>
      </c>
      <c r="D163" s="56" t="s">
        <v>4</v>
      </c>
      <c r="E163" s="56">
        <v>39</v>
      </c>
      <c r="F163" s="57">
        <v>3980</v>
      </c>
      <c r="G163" s="58">
        <v>0.12</v>
      </c>
      <c r="H163" s="59" t="s">
        <v>195</v>
      </c>
      <c r="I163" s="43">
        <f t="shared" si="4"/>
        <v>76500</v>
      </c>
      <c r="J163" s="49">
        <f t="shared" si="5"/>
        <v>74500</v>
      </c>
      <c r="K163" s="60">
        <v>69600</v>
      </c>
    </row>
    <row r="164" spans="1:12" ht="12" customHeight="1">
      <c r="B164" s="48">
        <v>159</v>
      </c>
      <c r="C164" s="56">
        <v>45</v>
      </c>
      <c r="D164" s="56" t="s">
        <v>4</v>
      </c>
      <c r="E164" s="56">
        <v>40</v>
      </c>
      <c r="F164" s="57">
        <v>1880</v>
      </c>
      <c r="G164" s="58">
        <f>0.22-0.076</f>
        <v>0.14400000000000002</v>
      </c>
      <c r="H164" s="59" t="s">
        <v>195</v>
      </c>
      <c r="I164" s="43">
        <f t="shared" si="4"/>
        <v>76500</v>
      </c>
      <c r="J164" s="49">
        <f t="shared" si="5"/>
        <v>74500</v>
      </c>
      <c r="K164" s="60">
        <v>69600</v>
      </c>
      <c r="L164" s="3"/>
    </row>
    <row r="165" spans="1:12" customFormat="1" ht="12" customHeight="1">
      <c r="A165" s="4"/>
      <c r="B165" s="48">
        <v>160</v>
      </c>
      <c r="C165" s="56">
        <v>45</v>
      </c>
      <c r="D165" s="56" t="s">
        <v>4</v>
      </c>
      <c r="E165" s="56">
        <v>42</v>
      </c>
      <c r="F165" s="57">
        <v>5960</v>
      </c>
      <c r="G165" s="58">
        <f>3.03-0.191-0.192-0.041</f>
        <v>2.6059999999999999</v>
      </c>
      <c r="H165" s="59" t="s">
        <v>195</v>
      </c>
      <c r="I165" s="43">
        <f t="shared" si="4"/>
        <v>76500</v>
      </c>
      <c r="J165" s="49">
        <f t="shared" si="5"/>
        <v>74500</v>
      </c>
      <c r="K165" s="60">
        <v>69600</v>
      </c>
    </row>
    <row r="166" spans="1:12" customFormat="1" ht="12" customHeight="1">
      <c r="A166" s="4"/>
      <c r="B166" s="48">
        <v>161</v>
      </c>
      <c r="C166" s="56">
        <v>45</v>
      </c>
      <c r="D166" s="56" t="s">
        <v>4</v>
      </c>
      <c r="E166" s="56">
        <v>43</v>
      </c>
      <c r="F166" s="57" t="s">
        <v>11</v>
      </c>
      <c r="G166" s="58">
        <f>0.829-0.051</f>
        <v>0.77799999999999991</v>
      </c>
      <c r="H166" s="59" t="s">
        <v>195</v>
      </c>
      <c r="I166" s="43">
        <f t="shared" si="4"/>
        <v>76500</v>
      </c>
      <c r="J166" s="49">
        <f t="shared" si="5"/>
        <v>74500</v>
      </c>
      <c r="K166" s="60">
        <v>69600</v>
      </c>
    </row>
    <row r="167" spans="1:12" ht="12" customHeight="1">
      <c r="B167" s="48">
        <v>162</v>
      </c>
      <c r="C167" s="56">
        <v>45</v>
      </c>
      <c r="D167" s="56" t="s">
        <v>4</v>
      </c>
      <c r="E167" s="56">
        <v>43</v>
      </c>
      <c r="F167" s="57" t="s">
        <v>12</v>
      </c>
      <c r="G167" s="58">
        <v>0.21</v>
      </c>
      <c r="H167" s="59" t="s">
        <v>195</v>
      </c>
      <c r="I167" s="43">
        <f t="shared" si="4"/>
        <v>76500</v>
      </c>
      <c r="J167" s="49">
        <f t="shared" si="5"/>
        <v>74500</v>
      </c>
      <c r="K167" s="60">
        <v>69600</v>
      </c>
      <c r="L167" s="3"/>
    </row>
    <row r="168" spans="1:12" customFormat="1" ht="12" customHeight="1">
      <c r="A168" s="4"/>
      <c r="B168" s="48">
        <v>163</v>
      </c>
      <c r="C168" s="56">
        <v>45</v>
      </c>
      <c r="D168" s="56" t="s">
        <v>4</v>
      </c>
      <c r="E168" s="56">
        <v>44</v>
      </c>
      <c r="F168" s="57">
        <v>945</v>
      </c>
      <c r="G168" s="58">
        <f>0.945-0.18-0.15-0.011</f>
        <v>0.60399999999999987</v>
      </c>
      <c r="H168" s="59" t="s">
        <v>195</v>
      </c>
      <c r="I168" s="43">
        <f t="shared" si="4"/>
        <v>76500</v>
      </c>
      <c r="J168" s="49">
        <f t="shared" si="5"/>
        <v>74500</v>
      </c>
      <c r="K168" s="60">
        <v>69600</v>
      </c>
    </row>
    <row r="169" spans="1:12" ht="12" customHeight="1">
      <c r="B169" s="48">
        <v>164</v>
      </c>
      <c r="C169" s="56">
        <v>45</v>
      </c>
      <c r="D169" s="56" t="s">
        <v>4</v>
      </c>
      <c r="E169" s="56">
        <v>45</v>
      </c>
      <c r="F169" s="57">
        <v>5840</v>
      </c>
      <c r="G169" s="58">
        <v>0.73099999999999998</v>
      </c>
      <c r="H169" s="59" t="s">
        <v>195</v>
      </c>
      <c r="I169" s="43">
        <f t="shared" si="4"/>
        <v>76500</v>
      </c>
      <c r="J169" s="49">
        <f t="shared" si="5"/>
        <v>74500</v>
      </c>
      <c r="K169" s="60">
        <v>69600</v>
      </c>
      <c r="L169" s="5"/>
    </row>
    <row r="170" spans="1:12" ht="12" customHeight="1">
      <c r="B170" s="48">
        <v>165</v>
      </c>
      <c r="C170" s="56">
        <v>45</v>
      </c>
      <c r="D170" s="56" t="s">
        <v>4</v>
      </c>
      <c r="E170" s="56">
        <v>48</v>
      </c>
      <c r="F170" s="57">
        <v>3350</v>
      </c>
      <c r="G170" s="58">
        <f>0.047+0.064+0.071+0.082+0.082-0.047-0.082</f>
        <v>0.21700000000000003</v>
      </c>
      <c r="H170" s="59" t="s">
        <v>195</v>
      </c>
      <c r="I170" s="43">
        <f t="shared" si="4"/>
        <v>76500</v>
      </c>
      <c r="J170" s="49">
        <f t="shared" si="5"/>
        <v>74500</v>
      </c>
      <c r="K170" s="60">
        <v>69600</v>
      </c>
      <c r="L170" s="3"/>
    </row>
    <row r="171" spans="1:12" ht="12" customHeight="1">
      <c r="B171" s="48">
        <v>166</v>
      </c>
      <c r="C171" s="56">
        <v>45</v>
      </c>
      <c r="D171" s="56" t="s">
        <v>4</v>
      </c>
      <c r="E171" s="56">
        <v>58</v>
      </c>
      <c r="F171" s="57">
        <v>1745</v>
      </c>
      <c r="G171" s="58">
        <f>0.24-0.04-0.036</f>
        <v>0.16399999999999998</v>
      </c>
      <c r="H171" s="59" t="s">
        <v>195</v>
      </c>
      <c r="I171" s="43">
        <f t="shared" si="4"/>
        <v>76500</v>
      </c>
      <c r="J171" s="49">
        <f t="shared" si="5"/>
        <v>74500</v>
      </c>
      <c r="K171" s="60">
        <v>69600</v>
      </c>
      <c r="L171" s="3"/>
    </row>
    <row r="172" spans="1:12" ht="12" customHeight="1">
      <c r="B172" s="48">
        <v>167</v>
      </c>
      <c r="C172" s="56">
        <v>45</v>
      </c>
      <c r="D172" s="56" t="s">
        <v>4</v>
      </c>
      <c r="E172" s="56">
        <v>58</v>
      </c>
      <c r="F172" s="57">
        <v>2200</v>
      </c>
      <c r="G172" s="58">
        <f>0.175-0.045-0.045</f>
        <v>8.5000000000000006E-2</v>
      </c>
      <c r="H172" s="59" t="s">
        <v>195</v>
      </c>
      <c r="I172" s="43">
        <f t="shared" si="4"/>
        <v>76500</v>
      </c>
      <c r="J172" s="49">
        <f t="shared" si="5"/>
        <v>74500</v>
      </c>
      <c r="K172" s="60">
        <v>69600</v>
      </c>
      <c r="L172" s="3"/>
    </row>
    <row r="173" spans="1:12" ht="12" customHeight="1">
      <c r="B173" s="48">
        <v>168</v>
      </c>
      <c r="C173" s="56">
        <v>45</v>
      </c>
      <c r="D173" s="56" t="s">
        <v>4</v>
      </c>
      <c r="E173" s="56">
        <v>93</v>
      </c>
      <c r="F173" s="57">
        <v>112</v>
      </c>
      <c r="G173" s="58">
        <v>5.0000000000000001E-3</v>
      </c>
      <c r="H173" s="59" t="s">
        <v>195</v>
      </c>
      <c r="I173" s="43">
        <f t="shared" si="4"/>
        <v>116500</v>
      </c>
      <c r="J173" s="49">
        <f t="shared" si="5"/>
        <v>114500</v>
      </c>
      <c r="K173" s="60">
        <v>107000</v>
      </c>
      <c r="L173" s="3"/>
    </row>
    <row r="174" spans="1:12" ht="12" customHeight="1">
      <c r="B174" s="48">
        <v>169</v>
      </c>
      <c r="C174" s="56">
        <v>45</v>
      </c>
      <c r="D174" s="56" t="s">
        <v>4</v>
      </c>
      <c r="E174" s="56">
        <v>100</v>
      </c>
      <c r="F174" s="57">
        <v>1505</v>
      </c>
      <c r="G174" s="58">
        <v>9.1999999999999998E-2</v>
      </c>
      <c r="H174" s="59" t="s">
        <v>195</v>
      </c>
      <c r="I174" s="43">
        <f t="shared" si="4"/>
        <v>76500</v>
      </c>
      <c r="J174" s="49">
        <f t="shared" si="5"/>
        <v>74500</v>
      </c>
      <c r="K174" s="60">
        <v>69600</v>
      </c>
      <c r="L174" s="3"/>
    </row>
    <row r="175" spans="1:12" customFormat="1" ht="12" customHeight="1">
      <c r="A175" s="4"/>
      <c r="B175" s="48">
        <v>170</v>
      </c>
      <c r="C175" s="56">
        <v>45</v>
      </c>
      <c r="D175" s="56" t="s">
        <v>4</v>
      </c>
      <c r="E175" s="56">
        <v>190</v>
      </c>
      <c r="F175" s="57">
        <v>1120</v>
      </c>
      <c r="G175" s="58">
        <v>0.247</v>
      </c>
      <c r="H175" s="59" t="s">
        <v>195</v>
      </c>
      <c r="I175" s="43">
        <f t="shared" si="4"/>
        <v>88000</v>
      </c>
      <c r="J175" s="49">
        <f t="shared" si="5"/>
        <v>86000</v>
      </c>
      <c r="K175" s="60">
        <v>80300</v>
      </c>
    </row>
    <row r="176" spans="1:12" customFormat="1" ht="12" customHeight="1">
      <c r="A176" s="4"/>
      <c r="B176" s="48">
        <v>171</v>
      </c>
      <c r="C176" s="56">
        <v>45</v>
      </c>
      <c r="D176" s="56" t="s">
        <v>4</v>
      </c>
      <c r="E176" s="56">
        <v>200</v>
      </c>
      <c r="F176" s="57">
        <v>1260</v>
      </c>
      <c r="G176" s="58">
        <v>0.33500000000000002</v>
      </c>
      <c r="H176" s="59" t="s">
        <v>6</v>
      </c>
      <c r="I176" s="43">
        <f t="shared" si="4"/>
        <v>98200</v>
      </c>
      <c r="J176" s="49">
        <f t="shared" si="5"/>
        <v>96200</v>
      </c>
      <c r="K176" s="60">
        <v>89900</v>
      </c>
    </row>
    <row r="177" spans="1:12" ht="12" customHeight="1">
      <c r="B177" s="48">
        <v>172</v>
      </c>
      <c r="C177" s="56">
        <v>45</v>
      </c>
      <c r="D177" s="56" t="s">
        <v>4</v>
      </c>
      <c r="E177" s="56">
        <v>205</v>
      </c>
      <c r="F177" s="57">
        <v>2130</v>
      </c>
      <c r="G177" s="58">
        <v>0.59</v>
      </c>
      <c r="H177" s="59" t="s">
        <v>6</v>
      </c>
      <c r="I177" s="43">
        <f t="shared" si="4"/>
        <v>88000</v>
      </c>
      <c r="J177" s="49">
        <f t="shared" si="5"/>
        <v>86000</v>
      </c>
      <c r="K177" s="60">
        <v>80300</v>
      </c>
      <c r="L177" s="3"/>
    </row>
    <row r="178" spans="1:12" customFormat="1" ht="12" customHeight="1">
      <c r="A178" s="4"/>
      <c r="B178" s="48">
        <v>173</v>
      </c>
      <c r="C178" s="56">
        <v>45</v>
      </c>
      <c r="D178" s="56" t="s">
        <v>4</v>
      </c>
      <c r="E178" s="56">
        <v>210</v>
      </c>
      <c r="F178" s="57">
        <v>1365</v>
      </c>
      <c r="G178" s="58">
        <v>0.48</v>
      </c>
      <c r="H178" s="59" t="s">
        <v>6</v>
      </c>
      <c r="I178" s="43">
        <f t="shared" si="4"/>
        <v>88000</v>
      </c>
      <c r="J178" s="49">
        <f t="shared" si="5"/>
        <v>86000</v>
      </c>
      <c r="K178" s="60">
        <v>80300</v>
      </c>
    </row>
    <row r="179" spans="1:12" ht="12" customHeight="1">
      <c r="B179" s="48">
        <v>174</v>
      </c>
      <c r="C179" s="56">
        <v>45</v>
      </c>
      <c r="D179" s="56" t="s">
        <v>4</v>
      </c>
      <c r="E179" s="56">
        <v>210</v>
      </c>
      <c r="F179" s="57">
        <v>1900</v>
      </c>
      <c r="G179" s="58">
        <v>0.54500000000000004</v>
      </c>
      <c r="H179" s="59" t="s">
        <v>6</v>
      </c>
      <c r="I179" s="43">
        <f t="shared" si="4"/>
        <v>88000</v>
      </c>
      <c r="J179" s="49">
        <f t="shared" si="5"/>
        <v>86000</v>
      </c>
      <c r="K179" s="60">
        <v>80300</v>
      </c>
      <c r="L179" s="3"/>
    </row>
    <row r="180" spans="1:12" customFormat="1" ht="12" customHeight="1">
      <c r="A180" s="4"/>
      <c r="B180" s="48">
        <v>175</v>
      </c>
      <c r="C180" s="56">
        <v>45</v>
      </c>
      <c r="D180" s="56" t="s">
        <v>4</v>
      </c>
      <c r="E180" s="56">
        <v>210</v>
      </c>
      <c r="F180" s="57">
        <v>2100</v>
      </c>
      <c r="G180" s="58">
        <v>0.56999999999999995</v>
      </c>
      <c r="H180" s="59" t="s">
        <v>6</v>
      </c>
      <c r="I180" s="43">
        <f t="shared" si="4"/>
        <v>88000</v>
      </c>
      <c r="J180" s="49">
        <f t="shared" si="5"/>
        <v>86000</v>
      </c>
      <c r="K180" s="60">
        <v>80300</v>
      </c>
    </row>
    <row r="181" spans="1:12" ht="12" customHeight="1">
      <c r="B181" s="48">
        <v>176</v>
      </c>
      <c r="C181" s="56">
        <v>45</v>
      </c>
      <c r="D181" s="56" t="s">
        <v>4</v>
      </c>
      <c r="E181" s="56">
        <v>240</v>
      </c>
      <c r="F181" s="57" t="s">
        <v>14</v>
      </c>
      <c r="G181" s="58">
        <v>0.04</v>
      </c>
      <c r="H181" s="59" t="s">
        <v>6</v>
      </c>
      <c r="I181" s="43">
        <f t="shared" si="4"/>
        <v>116500</v>
      </c>
      <c r="J181" s="49">
        <f t="shared" si="5"/>
        <v>114500</v>
      </c>
      <c r="K181" s="60">
        <v>107000</v>
      </c>
      <c r="L181" s="3"/>
    </row>
    <row r="182" spans="1:12" ht="12.75" customHeight="1">
      <c r="B182" s="48">
        <v>177</v>
      </c>
      <c r="C182" s="56">
        <v>45</v>
      </c>
      <c r="D182" s="56" t="s">
        <v>4</v>
      </c>
      <c r="E182" s="56">
        <v>290</v>
      </c>
      <c r="F182" s="57">
        <v>150</v>
      </c>
      <c r="G182" s="58">
        <v>7.4999999999999997E-2</v>
      </c>
      <c r="H182" s="59" t="s">
        <v>34</v>
      </c>
      <c r="I182" s="43">
        <f t="shared" si="4"/>
        <v>110900</v>
      </c>
      <c r="J182" s="49">
        <f t="shared" si="5"/>
        <v>108900</v>
      </c>
      <c r="K182" s="60">
        <v>101700</v>
      </c>
      <c r="L182" s="3"/>
    </row>
    <row r="183" spans="1:12" ht="12.75" customHeight="1">
      <c r="B183" s="48">
        <v>178</v>
      </c>
      <c r="C183" s="56">
        <v>45</v>
      </c>
      <c r="D183" s="56" t="s">
        <v>4</v>
      </c>
      <c r="E183" s="56">
        <v>385</v>
      </c>
      <c r="F183" s="57">
        <v>2595</v>
      </c>
      <c r="G183" s="58">
        <v>2.82</v>
      </c>
      <c r="H183" s="59" t="s">
        <v>6</v>
      </c>
      <c r="I183" s="43">
        <f t="shared" si="4"/>
        <v>128000</v>
      </c>
      <c r="J183" s="49">
        <f t="shared" si="5"/>
        <v>126000</v>
      </c>
      <c r="K183" s="60">
        <v>117700</v>
      </c>
      <c r="L183" s="3"/>
    </row>
    <row r="184" spans="1:12" ht="12" customHeight="1">
      <c r="B184" s="48">
        <v>179</v>
      </c>
      <c r="C184" s="56">
        <v>45</v>
      </c>
      <c r="D184" s="56" t="s">
        <v>4</v>
      </c>
      <c r="E184" s="56">
        <v>510</v>
      </c>
      <c r="F184" s="57">
        <v>230</v>
      </c>
      <c r="G184" s="58">
        <v>0.42499999999999999</v>
      </c>
      <c r="H184" s="59" t="s">
        <v>6</v>
      </c>
      <c r="I184" s="43">
        <f t="shared" si="4"/>
        <v>128000</v>
      </c>
      <c r="J184" s="49">
        <f t="shared" si="5"/>
        <v>126000</v>
      </c>
      <c r="K184" s="60">
        <v>117700</v>
      </c>
      <c r="L184" s="3"/>
    </row>
    <row r="185" spans="1:12" ht="12" customHeight="1">
      <c r="B185" s="48">
        <v>180</v>
      </c>
      <c r="C185" s="56">
        <v>45</v>
      </c>
      <c r="D185" s="56" t="s">
        <v>4</v>
      </c>
      <c r="E185" s="56">
        <v>520</v>
      </c>
      <c r="F185" s="57">
        <v>230</v>
      </c>
      <c r="G185" s="58">
        <v>0.41499999999999998</v>
      </c>
      <c r="H185" s="59" t="s">
        <v>6</v>
      </c>
      <c r="I185" s="43">
        <f t="shared" si="4"/>
        <v>128000</v>
      </c>
      <c r="J185" s="49">
        <f t="shared" si="5"/>
        <v>126000</v>
      </c>
      <c r="K185" s="60">
        <v>117700</v>
      </c>
      <c r="L185" s="3"/>
    </row>
    <row r="186" spans="1:12" ht="12" customHeight="1">
      <c r="B186" s="48">
        <v>181</v>
      </c>
      <c r="C186" s="56">
        <v>45</v>
      </c>
      <c r="D186" s="56" t="s">
        <v>4</v>
      </c>
      <c r="E186" s="56">
        <v>760</v>
      </c>
      <c r="F186" s="57">
        <v>175</v>
      </c>
      <c r="G186" s="58">
        <v>0.68</v>
      </c>
      <c r="H186" s="59" t="s">
        <v>6</v>
      </c>
      <c r="I186" s="43">
        <f t="shared" si="4"/>
        <v>128000</v>
      </c>
      <c r="J186" s="49">
        <f t="shared" si="5"/>
        <v>126000</v>
      </c>
      <c r="K186" s="60">
        <v>117700</v>
      </c>
      <c r="L186" s="3"/>
    </row>
    <row r="187" spans="1:12" ht="12" customHeight="1">
      <c r="B187" s="48">
        <v>182</v>
      </c>
      <c r="C187" s="56">
        <v>45</v>
      </c>
      <c r="D187" s="56" t="s">
        <v>4</v>
      </c>
      <c r="E187" s="56">
        <v>760</v>
      </c>
      <c r="F187" s="57">
        <v>180</v>
      </c>
      <c r="G187" s="58">
        <v>0.68</v>
      </c>
      <c r="H187" s="59" t="s">
        <v>6</v>
      </c>
      <c r="I187" s="43">
        <f t="shared" si="4"/>
        <v>128000</v>
      </c>
      <c r="J187" s="49">
        <f t="shared" si="5"/>
        <v>126000</v>
      </c>
      <c r="K187" s="60">
        <v>117700</v>
      </c>
      <c r="L187" s="3"/>
    </row>
    <row r="188" spans="1:12" ht="12" customHeight="1">
      <c r="B188" s="48">
        <v>183</v>
      </c>
      <c r="C188" s="56">
        <v>45</v>
      </c>
      <c r="D188" s="56" t="s">
        <v>4</v>
      </c>
      <c r="E188" s="56">
        <v>870</v>
      </c>
      <c r="F188" s="57">
        <v>130</v>
      </c>
      <c r="G188" s="58">
        <v>0.69</v>
      </c>
      <c r="H188" s="59" t="s">
        <v>6</v>
      </c>
      <c r="I188" s="43">
        <f t="shared" si="4"/>
        <v>128000</v>
      </c>
      <c r="J188" s="49">
        <f t="shared" si="5"/>
        <v>126000</v>
      </c>
      <c r="K188" s="60">
        <v>117700</v>
      </c>
      <c r="L188" s="3"/>
    </row>
    <row r="189" spans="1:12" ht="12" customHeight="1">
      <c r="B189" s="48">
        <v>184</v>
      </c>
      <c r="C189" s="56">
        <v>45</v>
      </c>
      <c r="D189" s="56" t="s">
        <v>4</v>
      </c>
      <c r="E189" s="56">
        <v>870</v>
      </c>
      <c r="F189" s="57">
        <v>135</v>
      </c>
      <c r="G189" s="58">
        <v>0.67</v>
      </c>
      <c r="H189" s="59" t="s">
        <v>6</v>
      </c>
      <c r="I189" s="43">
        <f t="shared" si="4"/>
        <v>128000</v>
      </c>
      <c r="J189" s="49">
        <f t="shared" si="5"/>
        <v>126000</v>
      </c>
      <c r="K189" s="60">
        <v>117700</v>
      </c>
      <c r="L189" s="5"/>
    </row>
    <row r="190" spans="1:12" ht="12" customHeight="1">
      <c r="B190" s="48">
        <v>185</v>
      </c>
      <c r="C190" s="56">
        <v>45</v>
      </c>
      <c r="D190" s="56" t="s">
        <v>4</v>
      </c>
      <c r="E190" s="56">
        <v>890</v>
      </c>
      <c r="F190" s="57">
        <v>140</v>
      </c>
      <c r="G190" s="58">
        <v>0.71499999999999997</v>
      </c>
      <c r="H190" s="59" t="s">
        <v>6</v>
      </c>
      <c r="I190" s="43">
        <f t="shared" si="4"/>
        <v>128000</v>
      </c>
      <c r="J190" s="49">
        <f t="shared" si="5"/>
        <v>126000</v>
      </c>
      <c r="K190" s="60">
        <v>117700</v>
      </c>
      <c r="L190" s="3"/>
    </row>
    <row r="191" spans="1:12" ht="12" customHeight="1">
      <c r="B191" s="48">
        <v>186</v>
      </c>
      <c r="C191" s="56">
        <v>45</v>
      </c>
      <c r="D191" s="56" t="s">
        <v>4</v>
      </c>
      <c r="E191" s="56">
        <v>890</v>
      </c>
      <c r="F191" s="57">
        <v>140</v>
      </c>
      <c r="G191" s="58">
        <v>0.67500000000000004</v>
      </c>
      <c r="H191" s="59" t="s">
        <v>6</v>
      </c>
      <c r="I191" s="43">
        <f t="shared" si="4"/>
        <v>128000</v>
      </c>
      <c r="J191" s="49">
        <f t="shared" si="5"/>
        <v>126000</v>
      </c>
      <c r="K191" s="60">
        <v>117700</v>
      </c>
      <c r="L191" s="3"/>
    </row>
    <row r="192" spans="1:12" ht="12" customHeight="1">
      <c r="B192" s="48">
        <v>187</v>
      </c>
      <c r="C192" s="56">
        <v>50</v>
      </c>
      <c r="D192" s="56" t="s">
        <v>4</v>
      </c>
      <c r="E192" s="56">
        <v>90</v>
      </c>
      <c r="F192" s="57">
        <v>2735</v>
      </c>
      <c r="G192" s="58">
        <f>1.36-0.148-0.165-0.135</f>
        <v>0.91200000000000014</v>
      </c>
      <c r="H192" s="59" t="s">
        <v>195</v>
      </c>
      <c r="I192" s="43">
        <f t="shared" si="4"/>
        <v>65100</v>
      </c>
      <c r="J192" s="49">
        <f t="shared" si="5"/>
        <v>63100</v>
      </c>
      <c r="K192" s="60">
        <v>58900</v>
      </c>
      <c r="L192" s="3"/>
    </row>
    <row r="193" spans="1:12" s="5" customFormat="1" ht="12" customHeight="1">
      <c r="B193" s="48">
        <v>188</v>
      </c>
      <c r="C193" s="56">
        <v>50</v>
      </c>
      <c r="D193" s="56" t="s">
        <v>4</v>
      </c>
      <c r="E193" s="56">
        <v>200</v>
      </c>
      <c r="F193" s="57">
        <v>765</v>
      </c>
      <c r="G193" s="58">
        <f>0.55-0.342</f>
        <v>0.20800000000000002</v>
      </c>
      <c r="H193" s="59" t="s">
        <v>195</v>
      </c>
      <c r="I193" s="43">
        <f t="shared" si="4"/>
        <v>90200</v>
      </c>
      <c r="J193" s="49">
        <f t="shared" si="5"/>
        <v>88200</v>
      </c>
      <c r="K193" s="60">
        <v>82400</v>
      </c>
      <c r="L193" s="3"/>
    </row>
    <row r="194" spans="1:12" ht="12" customHeight="1">
      <c r="B194" s="48">
        <v>189</v>
      </c>
      <c r="C194" s="56">
        <v>50</v>
      </c>
      <c r="D194" s="56" t="s">
        <v>4</v>
      </c>
      <c r="E194" s="56">
        <v>230</v>
      </c>
      <c r="F194" s="57">
        <v>1860</v>
      </c>
      <c r="G194" s="58">
        <v>0.68</v>
      </c>
      <c r="H194" s="59" t="s">
        <v>6</v>
      </c>
      <c r="I194" s="43">
        <f t="shared" si="4"/>
        <v>90200</v>
      </c>
      <c r="J194" s="49">
        <f t="shared" si="5"/>
        <v>88200</v>
      </c>
      <c r="K194" s="60">
        <v>82400</v>
      </c>
      <c r="L194" s="3"/>
    </row>
    <row r="195" spans="1:12" ht="12" customHeight="1">
      <c r="B195" s="48">
        <v>190</v>
      </c>
      <c r="C195" s="56" t="s">
        <v>220</v>
      </c>
      <c r="D195" s="56" t="s">
        <v>4</v>
      </c>
      <c r="E195" s="56">
        <v>60</v>
      </c>
      <c r="F195" s="57">
        <v>3000</v>
      </c>
      <c r="G195" s="58">
        <v>6.6000000000000003E-2</v>
      </c>
      <c r="H195" s="59" t="s">
        <v>195</v>
      </c>
      <c r="I195" s="43">
        <f t="shared" si="4"/>
        <v>154400</v>
      </c>
      <c r="J195" s="49">
        <f t="shared" si="5"/>
        <v>152400</v>
      </c>
      <c r="K195" s="60">
        <v>142400</v>
      </c>
      <c r="L195" s="3"/>
    </row>
    <row r="196" spans="1:12" ht="12" customHeight="1">
      <c r="B196" s="48">
        <v>191</v>
      </c>
      <c r="C196" s="56" t="s">
        <v>220</v>
      </c>
      <c r="D196" s="56" t="s">
        <v>4</v>
      </c>
      <c r="E196" s="56">
        <v>65</v>
      </c>
      <c r="F196" s="57">
        <v>2140</v>
      </c>
      <c r="G196" s="58">
        <f>0.055+0.057</f>
        <v>0.112</v>
      </c>
      <c r="H196" s="59" t="s">
        <v>195</v>
      </c>
      <c r="I196" s="43">
        <f t="shared" si="4"/>
        <v>153200</v>
      </c>
      <c r="J196" s="49">
        <f t="shared" si="5"/>
        <v>151200</v>
      </c>
      <c r="K196" s="60">
        <v>141300</v>
      </c>
      <c r="L196" s="3"/>
    </row>
    <row r="197" spans="1:12" ht="12" customHeight="1">
      <c r="B197" s="48">
        <v>192</v>
      </c>
      <c r="C197" s="56" t="s">
        <v>220</v>
      </c>
      <c r="D197" s="56" t="s">
        <v>4</v>
      </c>
      <c r="E197" s="56">
        <v>65</v>
      </c>
      <c r="F197" s="57">
        <v>2350</v>
      </c>
      <c r="G197" s="58">
        <f>0.06+0.061</f>
        <v>0.121</v>
      </c>
      <c r="H197" s="59" t="s">
        <v>195</v>
      </c>
      <c r="I197" s="43">
        <f t="shared" si="4"/>
        <v>153200</v>
      </c>
      <c r="J197" s="49">
        <f t="shared" si="5"/>
        <v>151200</v>
      </c>
      <c r="K197" s="60">
        <v>141300</v>
      </c>
      <c r="L197" s="3"/>
    </row>
    <row r="198" spans="1:12" ht="12" customHeight="1">
      <c r="B198" s="48">
        <v>193</v>
      </c>
      <c r="C198" s="56" t="s">
        <v>220</v>
      </c>
      <c r="D198" s="56" t="s">
        <v>4</v>
      </c>
      <c r="E198" s="56">
        <v>75</v>
      </c>
      <c r="F198" s="57">
        <v>2560</v>
      </c>
      <c r="G198" s="58">
        <v>8.7999999999999995E-2</v>
      </c>
      <c r="H198" s="59" t="s">
        <v>195</v>
      </c>
      <c r="I198" s="43">
        <f t="shared" ref="I198:I261" si="6">J198+2000</f>
        <v>156700</v>
      </c>
      <c r="J198" s="49">
        <f t="shared" si="5"/>
        <v>154700</v>
      </c>
      <c r="K198" s="60">
        <v>144500</v>
      </c>
      <c r="L198" s="3"/>
    </row>
    <row r="199" spans="1:12" ht="12" customHeight="1">
      <c r="B199" s="48">
        <v>194</v>
      </c>
      <c r="C199" s="56" t="s">
        <v>220</v>
      </c>
      <c r="D199" s="56" t="s">
        <v>4</v>
      </c>
      <c r="E199" s="56">
        <v>75</v>
      </c>
      <c r="F199" s="57">
        <v>2610</v>
      </c>
      <c r="G199" s="58">
        <v>8.8999999999999996E-2</v>
      </c>
      <c r="H199" s="59" t="s">
        <v>195</v>
      </c>
      <c r="I199" s="43">
        <f t="shared" si="6"/>
        <v>156700</v>
      </c>
      <c r="J199" s="49">
        <f t="shared" ref="J199:J262" si="7">ROUNDUP(K199*1.07,-2)</f>
        <v>154700</v>
      </c>
      <c r="K199" s="60">
        <v>144500</v>
      </c>
      <c r="L199" s="3"/>
    </row>
    <row r="200" spans="1:12" ht="11.25" customHeight="1">
      <c r="B200" s="48">
        <v>195</v>
      </c>
      <c r="C200" s="56" t="s">
        <v>220</v>
      </c>
      <c r="D200" s="80" t="s">
        <v>4</v>
      </c>
      <c r="E200" s="56">
        <v>100</v>
      </c>
      <c r="F200" s="57">
        <v>3810</v>
      </c>
      <c r="G200" s="58">
        <f>0.232+0.237+0.24+0.255-0.24</f>
        <v>0.72399999999999998</v>
      </c>
      <c r="H200" s="59" t="s">
        <v>195</v>
      </c>
      <c r="I200" s="43">
        <f t="shared" si="6"/>
        <v>154700</v>
      </c>
      <c r="J200" s="49">
        <f t="shared" si="7"/>
        <v>152700</v>
      </c>
      <c r="K200" s="60">
        <v>142700</v>
      </c>
      <c r="L200" s="3"/>
    </row>
    <row r="201" spans="1:12" s="2" customFormat="1" ht="12" customHeight="1">
      <c r="B201" s="48">
        <v>196</v>
      </c>
      <c r="C201" s="56" t="s">
        <v>220</v>
      </c>
      <c r="D201" s="80" t="s">
        <v>4</v>
      </c>
      <c r="E201" s="56">
        <v>100</v>
      </c>
      <c r="F201" s="57">
        <v>3910</v>
      </c>
      <c r="G201" s="58">
        <f>0.238+0.238+0.241+0.241+0.248</f>
        <v>1.206</v>
      </c>
      <c r="H201" s="59" t="s">
        <v>195</v>
      </c>
      <c r="I201" s="43">
        <f t="shared" si="6"/>
        <v>154700</v>
      </c>
      <c r="J201" s="49">
        <f t="shared" si="7"/>
        <v>152700</v>
      </c>
      <c r="K201" s="60">
        <v>142700</v>
      </c>
    </row>
    <row r="202" spans="1:12" customFormat="1" ht="12" customHeight="1">
      <c r="A202" s="4"/>
      <c r="B202" s="48">
        <v>197</v>
      </c>
      <c r="C202" s="56" t="s">
        <v>220</v>
      </c>
      <c r="D202" s="80" t="s">
        <v>4</v>
      </c>
      <c r="E202" s="56">
        <v>120</v>
      </c>
      <c r="F202" s="57">
        <v>3400</v>
      </c>
      <c r="G202" s="58">
        <v>0.29799999999999999</v>
      </c>
      <c r="H202" s="59" t="s">
        <v>195</v>
      </c>
      <c r="I202" s="43">
        <f t="shared" si="6"/>
        <v>154700</v>
      </c>
      <c r="J202" s="49">
        <f t="shared" si="7"/>
        <v>152700</v>
      </c>
      <c r="K202" s="60">
        <v>142700</v>
      </c>
    </row>
    <row r="203" spans="1:12" ht="12" customHeight="1">
      <c r="B203" s="48">
        <v>198</v>
      </c>
      <c r="C203" s="56" t="s">
        <v>220</v>
      </c>
      <c r="D203" s="56" t="s">
        <v>4</v>
      </c>
      <c r="E203" s="56">
        <v>130</v>
      </c>
      <c r="F203" s="57">
        <v>3400</v>
      </c>
      <c r="G203" s="58">
        <v>0.35399999999999998</v>
      </c>
      <c r="H203" s="59" t="s">
        <v>195</v>
      </c>
      <c r="I203" s="43">
        <f t="shared" si="6"/>
        <v>154700</v>
      </c>
      <c r="J203" s="49">
        <f t="shared" si="7"/>
        <v>152700</v>
      </c>
      <c r="K203" s="60">
        <v>142700</v>
      </c>
      <c r="L203" s="3"/>
    </row>
    <row r="204" spans="1:12" ht="12" customHeight="1">
      <c r="B204" s="48">
        <v>199</v>
      </c>
      <c r="C204" s="56" t="s">
        <v>15</v>
      </c>
      <c r="D204" s="56" t="s">
        <v>4</v>
      </c>
      <c r="E204" s="56">
        <v>40</v>
      </c>
      <c r="F204" s="57">
        <v>1205</v>
      </c>
      <c r="G204" s="58">
        <v>0.04</v>
      </c>
      <c r="H204" s="69" t="s">
        <v>195</v>
      </c>
      <c r="I204" s="43">
        <f t="shared" si="6"/>
        <v>82200</v>
      </c>
      <c r="J204" s="49">
        <f t="shared" si="7"/>
        <v>80200</v>
      </c>
      <c r="K204" s="60">
        <v>74900</v>
      </c>
      <c r="L204" s="3"/>
    </row>
    <row r="205" spans="1:12" s="5" customFormat="1" ht="12" customHeight="1">
      <c r="B205" s="48">
        <v>200</v>
      </c>
      <c r="C205" s="56" t="s">
        <v>16</v>
      </c>
      <c r="D205" s="56" t="s">
        <v>4</v>
      </c>
      <c r="E205" s="56">
        <v>50</v>
      </c>
      <c r="F205" s="57">
        <v>2360</v>
      </c>
      <c r="G205" s="58">
        <f>0.513-0.062</f>
        <v>0.45100000000000001</v>
      </c>
      <c r="H205" s="69" t="s">
        <v>195</v>
      </c>
      <c r="I205" s="43">
        <f t="shared" si="6"/>
        <v>134300</v>
      </c>
      <c r="J205" s="49">
        <f t="shared" si="7"/>
        <v>132300</v>
      </c>
      <c r="K205" s="60">
        <v>123600</v>
      </c>
      <c r="L205" s="3"/>
    </row>
    <row r="206" spans="1:12" ht="12" customHeight="1">
      <c r="B206" s="48">
        <v>201</v>
      </c>
      <c r="C206" s="56" t="s">
        <v>16</v>
      </c>
      <c r="D206" s="56" t="s">
        <v>4</v>
      </c>
      <c r="E206" s="56">
        <v>80</v>
      </c>
      <c r="F206" s="57">
        <v>2210</v>
      </c>
      <c r="G206" s="58">
        <v>8.6999999999999994E-2</v>
      </c>
      <c r="H206" s="59" t="s">
        <v>195</v>
      </c>
      <c r="I206" s="43">
        <f t="shared" si="6"/>
        <v>134300</v>
      </c>
      <c r="J206" s="49">
        <f t="shared" si="7"/>
        <v>132300</v>
      </c>
      <c r="K206" s="60">
        <v>123600</v>
      </c>
      <c r="L206" s="3"/>
    </row>
    <row r="207" spans="1:12" ht="12" customHeight="1">
      <c r="B207" s="48">
        <v>202</v>
      </c>
      <c r="C207" s="56" t="s">
        <v>16</v>
      </c>
      <c r="D207" s="56" t="s">
        <v>4</v>
      </c>
      <c r="E207" s="56">
        <v>130</v>
      </c>
      <c r="F207" s="57">
        <v>1600</v>
      </c>
      <c r="G207" s="58">
        <v>0.16700000000000001</v>
      </c>
      <c r="H207" s="59" t="s">
        <v>195</v>
      </c>
      <c r="I207" s="43">
        <f t="shared" si="6"/>
        <v>134300</v>
      </c>
      <c r="J207" s="49">
        <f t="shared" si="7"/>
        <v>132300</v>
      </c>
      <c r="K207" s="60">
        <v>123600</v>
      </c>
      <c r="L207" s="3"/>
    </row>
    <row r="208" spans="1:12" ht="12" customHeight="1">
      <c r="B208" s="48">
        <v>203</v>
      </c>
      <c r="C208" s="56" t="s">
        <v>292</v>
      </c>
      <c r="D208" s="56" t="s">
        <v>4</v>
      </c>
      <c r="E208" s="56">
        <v>210</v>
      </c>
      <c r="F208" s="57">
        <v>3590</v>
      </c>
      <c r="G208" s="58">
        <v>0.97</v>
      </c>
      <c r="H208" s="59" t="s">
        <v>54</v>
      </c>
      <c r="I208" s="43">
        <f t="shared" si="6"/>
        <v>137700</v>
      </c>
      <c r="J208" s="49">
        <f t="shared" si="7"/>
        <v>135700</v>
      </c>
      <c r="K208" s="60">
        <v>126800</v>
      </c>
      <c r="L208" s="3"/>
    </row>
    <row r="209" spans="1:12" ht="12" customHeight="1">
      <c r="B209" s="48">
        <v>204</v>
      </c>
      <c r="C209" s="56" t="s">
        <v>286</v>
      </c>
      <c r="D209" s="56" t="s">
        <v>4</v>
      </c>
      <c r="E209" s="56">
        <v>38</v>
      </c>
      <c r="F209" s="57">
        <v>3240</v>
      </c>
      <c r="G209" s="58">
        <f>0.057-0.029</f>
        <v>2.8000000000000001E-2</v>
      </c>
      <c r="H209" s="59" t="s">
        <v>280</v>
      </c>
      <c r="I209" s="43">
        <f t="shared" si="6"/>
        <v>460000</v>
      </c>
      <c r="J209" s="49">
        <f t="shared" si="7"/>
        <v>458000</v>
      </c>
      <c r="K209" s="60">
        <v>428000</v>
      </c>
      <c r="L209" s="3"/>
    </row>
    <row r="210" spans="1:12" ht="12" customHeight="1">
      <c r="B210" s="48">
        <v>205</v>
      </c>
      <c r="C210" s="56" t="s">
        <v>271</v>
      </c>
      <c r="D210" s="56" t="s">
        <v>4</v>
      </c>
      <c r="E210" s="56">
        <v>140</v>
      </c>
      <c r="F210" s="57">
        <v>370</v>
      </c>
      <c r="G210" s="58">
        <v>4.3999999999999997E-2</v>
      </c>
      <c r="H210" s="59" t="s">
        <v>195</v>
      </c>
      <c r="I210" s="43">
        <f t="shared" si="6"/>
        <v>460000</v>
      </c>
      <c r="J210" s="49">
        <f t="shared" si="7"/>
        <v>458000</v>
      </c>
      <c r="K210" s="60">
        <v>428000</v>
      </c>
      <c r="L210" s="3"/>
    </row>
    <row r="211" spans="1:12" ht="12" customHeight="1">
      <c r="B211" s="48">
        <v>206</v>
      </c>
      <c r="C211" s="56" t="s">
        <v>271</v>
      </c>
      <c r="D211" s="56" t="s">
        <v>4</v>
      </c>
      <c r="E211" s="56">
        <v>183</v>
      </c>
      <c r="F211" s="57">
        <v>220</v>
      </c>
      <c r="G211" s="58">
        <v>4.5999999999999999E-2</v>
      </c>
      <c r="H211" s="59" t="s">
        <v>195</v>
      </c>
      <c r="I211" s="43">
        <f t="shared" si="6"/>
        <v>460000</v>
      </c>
      <c r="J211" s="49">
        <f t="shared" si="7"/>
        <v>458000</v>
      </c>
      <c r="K211" s="60">
        <v>428000</v>
      </c>
      <c r="L211" s="3"/>
    </row>
    <row r="212" spans="1:12" ht="12" customHeight="1">
      <c r="B212" s="48">
        <v>207</v>
      </c>
      <c r="C212" s="56" t="s">
        <v>206</v>
      </c>
      <c r="D212" s="56" t="s">
        <v>4</v>
      </c>
      <c r="E212" s="56">
        <v>10</v>
      </c>
      <c r="F212" s="57">
        <v>1800</v>
      </c>
      <c r="G212" s="58">
        <f>0.085-0.003-0.015-0.036</f>
        <v>3.1000000000000007E-2</v>
      </c>
      <c r="H212" s="59" t="s">
        <v>195</v>
      </c>
      <c r="I212" s="43">
        <f t="shared" si="6"/>
        <v>288300</v>
      </c>
      <c r="J212" s="49">
        <f t="shared" si="7"/>
        <v>286300</v>
      </c>
      <c r="K212" s="60">
        <v>267500</v>
      </c>
      <c r="L212" s="3"/>
    </row>
    <row r="213" spans="1:12" ht="12" customHeight="1">
      <c r="B213" s="48">
        <v>208</v>
      </c>
      <c r="C213" s="56" t="s">
        <v>206</v>
      </c>
      <c r="D213" s="56" t="s">
        <v>4</v>
      </c>
      <c r="E213" s="56">
        <v>16</v>
      </c>
      <c r="F213" s="57">
        <v>2400</v>
      </c>
      <c r="G213" s="58">
        <f>0.055-0.015-0.019</f>
        <v>2.1000000000000001E-2</v>
      </c>
      <c r="H213" s="59" t="s">
        <v>195</v>
      </c>
      <c r="I213" s="43">
        <f t="shared" si="6"/>
        <v>288300</v>
      </c>
      <c r="J213" s="49">
        <f t="shared" si="7"/>
        <v>286300</v>
      </c>
      <c r="K213" s="60">
        <v>267500</v>
      </c>
      <c r="L213" s="3"/>
    </row>
    <row r="214" spans="1:12" ht="12" customHeight="1">
      <c r="B214" s="48">
        <v>209</v>
      </c>
      <c r="C214" s="56" t="s">
        <v>206</v>
      </c>
      <c r="D214" s="56" t="s">
        <v>4</v>
      </c>
      <c r="E214" s="56">
        <v>16</v>
      </c>
      <c r="F214" s="57">
        <v>2670</v>
      </c>
      <c r="G214" s="58">
        <v>0.03</v>
      </c>
      <c r="H214" s="59" t="s">
        <v>195</v>
      </c>
      <c r="I214" s="43">
        <f t="shared" si="6"/>
        <v>288300</v>
      </c>
      <c r="J214" s="49">
        <f t="shared" si="7"/>
        <v>286300</v>
      </c>
      <c r="K214" s="60">
        <v>267500</v>
      </c>
      <c r="L214" s="3"/>
    </row>
    <row r="215" spans="1:12" ht="12" customHeight="1">
      <c r="B215" s="48">
        <v>210</v>
      </c>
      <c r="C215" s="56" t="s">
        <v>206</v>
      </c>
      <c r="D215" s="56" t="s">
        <v>4</v>
      </c>
      <c r="E215" s="56">
        <v>85</v>
      </c>
      <c r="F215" s="57">
        <v>4880</v>
      </c>
      <c r="G215" s="58">
        <v>0.214</v>
      </c>
      <c r="H215" s="59" t="s">
        <v>195</v>
      </c>
      <c r="I215" s="43">
        <f t="shared" si="6"/>
        <v>288300</v>
      </c>
      <c r="J215" s="49">
        <f t="shared" si="7"/>
        <v>286300</v>
      </c>
      <c r="K215" s="60">
        <v>267500</v>
      </c>
      <c r="L215" s="3"/>
    </row>
    <row r="216" spans="1:12" ht="12" customHeight="1">
      <c r="B216" s="48">
        <v>211</v>
      </c>
      <c r="C216" s="56" t="s">
        <v>206</v>
      </c>
      <c r="D216" s="56" t="s">
        <v>4</v>
      </c>
      <c r="E216" s="56">
        <v>85</v>
      </c>
      <c r="F216" s="57">
        <v>5120</v>
      </c>
      <c r="G216" s="58">
        <v>0.22500000000000001</v>
      </c>
      <c r="H216" s="59" t="s">
        <v>195</v>
      </c>
      <c r="I216" s="43">
        <f t="shared" si="6"/>
        <v>288300</v>
      </c>
      <c r="J216" s="49">
        <f t="shared" si="7"/>
        <v>286300</v>
      </c>
      <c r="K216" s="60">
        <v>267500</v>
      </c>
      <c r="L216" s="3"/>
    </row>
    <row r="217" spans="1:12" customFormat="1" ht="12" customHeight="1">
      <c r="A217" s="4"/>
      <c r="B217" s="48">
        <v>212</v>
      </c>
      <c r="C217" s="56" t="s">
        <v>17</v>
      </c>
      <c r="D217" s="56" t="s">
        <v>4</v>
      </c>
      <c r="E217" s="56">
        <v>25</v>
      </c>
      <c r="F217" s="57">
        <v>2350</v>
      </c>
      <c r="G217" s="58">
        <v>7.0000000000000007E-2</v>
      </c>
      <c r="H217" s="59" t="s">
        <v>195</v>
      </c>
      <c r="I217" s="43">
        <f t="shared" si="6"/>
        <v>236800</v>
      </c>
      <c r="J217" s="49">
        <f t="shared" si="7"/>
        <v>234800</v>
      </c>
      <c r="K217" s="60">
        <v>219400</v>
      </c>
    </row>
    <row r="218" spans="1:12" ht="11.25" customHeight="1">
      <c r="B218" s="48">
        <v>213</v>
      </c>
      <c r="C218" s="56" t="s">
        <v>18</v>
      </c>
      <c r="D218" s="56" t="s">
        <v>4</v>
      </c>
      <c r="E218" s="56">
        <v>14</v>
      </c>
      <c r="F218" s="57" t="s">
        <v>19</v>
      </c>
      <c r="G218" s="58">
        <f>0.875-0.3</f>
        <v>0.57499999999999996</v>
      </c>
      <c r="H218" s="59" t="s">
        <v>195</v>
      </c>
      <c r="I218" s="43">
        <f t="shared" si="6"/>
        <v>345500</v>
      </c>
      <c r="J218" s="49">
        <f t="shared" si="7"/>
        <v>343500</v>
      </c>
      <c r="K218" s="60">
        <v>321000</v>
      </c>
      <c r="L218" s="3"/>
    </row>
    <row r="219" spans="1:12" ht="11.25" customHeight="1">
      <c r="B219" s="48">
        <v>214</v>
      </c>
      <c r="C219" s="56" t="s">
        <v>18</v>
      </c>
      <c r="D219" s="56" t="s">
        <v>4</v>
      </c>
      <c r="E219" s="56">
        <v>14</v>
      </c>
      <c r="F219" s="57" t="s">
        <v>20</v>
      </c>
      <c r="G219" s="58">
        <f>0.09-0.008-0.026-0.004-0.017</f>
        <v>3.4999999999999989E-2</v>
      </c>
      <c r="H219" s="59" t="s">
        <v>195</v>
      </c>
      <c r="I219" s="43">
        <f t="shared" si="6"/>
        <v>345500</v>
      </c>
      <c r="J219" s="49">
        <f t="shared" si="7"/>
        <v>343500</v>
      </c>
      <c r="K219" s="60">
        <v>321000</v>
      </c>
      <c r="L219" s="3"/>
    </row>
    <row r="220" spans="1:12" customFormat="1" ht="12" customHeight="1">
      <c r="A220" s="4"/>
      <c r="B220" s="48">
        <v>215</v>
      </c>
      <c r="C220" s="56" t="s">
        <v>18</v>
      </c>
      <c r="D220" s="56" t="s">
        <v>4</v>
      </c>
      <c r="E220" s="56">
        <v>18</v>
      </c>
      <c r="F220" s="57">
        <v>1700</v>
      </c>
      <c r="G220" s="58">
        <v>9.5000000000000001E-2</v>
      </c>
      <c r="H220" s="59" t="s">
        <v>195</v>
      </c>
      <c r="I220" s="43">
        <f t="shared" si="6"/>
        <v>345500</v>
      </c>
      <c r="J220" s="49">
        <f t="shared" si="7"/>
        <v>343500</v>
      </c>
      <c r="K220" s="60">
        <v>321000</v>
      </c>
    </row>
    <row r="221" spans="1:12" customFormat="1" ht="12" customHeight="1">
      <c r="A221" s="4"/>
      <c r="B221" s="48">
        <v>216</v>
      </c>
      <c r="C221" s="56" t="s">
        <v>18</v>
      </c>
      <c r="D221" s="56" t="s">
        <v>4</v>
      </c>
      <c r="E221" s="56">
        <v>25</v>
      </c>
      <c r="F221" s="57">
        <v>3050</v>
      </c>
      <c r="G221" s="58">
        <f>0.13-0.011-0.012-0.02-0.009</f>
        <v>7.8000000000000014E-2</v>
      </c>
      <c r="H221" s="59" t="s">
        <v>195</v>
      </c>
      <c r="I221" s="43">
        <f t="shared" si="6"/>
        <v>345500</v>
      </c>
      <c r="J221" s="49">
        <f t="shared" si="7"/>
        <v>343500</v>
      </c>
      <c r="K221" s="60">
        <v>321000</v>
      </c>
    </row>
    <row r="222" spans="1:12" ht="11.25" customHeight="1">
      <c r="B222" s="48">
        <v>217</v>
      </c>
      <c r="C222" s="56" t="s">
        <v>18</v>
      </c>
      <c r="D222" s="56" t="s">
        <v>4</v>
      </c>
      <c r="E222" s="56">
        <v>35</v>
      </c>
      <c r="F222" s="57" t="s">
        <v>21</v>
      </c>
      <c r="G222" s="58">
        <f>0.865-0.655</f>
        <v>0.20999999999999996</v>
      </c>
      <c r="H222" s="59" t="s">
        <v>195</v>
      </c>
      <c r="I222" s="43">
        <f t="shared" si="6"/>
        <v>345500</v>
      </c>
      <c r="J222" s="49">
        <f t="shared" si="7"/>
        <v>343500</v>
      </c>
      <c r="K222" s="60">
        <v>321000</v>
      </c>
      <c r="L222" s="3"/>
    </row>
    <row r="223" spans="1:12" ht="11.25" customHeight="1">
      <c r="B223" s="48">
        <v>218</v>
      </c>
      <c r="C223" s="56" t="s">
        <v>18</v>
      </c>
      <c r="D223" s="56" t="s">
        <v>4</v>
      </c>
      <c r="E223" s="56">
        <v>42</v>
      </c>
      <c r="F223" s="57">
        <v>3040</v>
      </c>
      <c r="G223" s="58">
        <f>0.725-0.024</f>
        <v>0.70099999999999996</v>
      </c>
      <c r="H223" s="59" t="s">
        <v>195</v>
      </c>
      <c r="I223" s="43">
        <f t="shared" si="6"/>
        <v>345500</v>
      </c>
      <c r="J223" s="49">
        <f t="shared" si="7"/>
        <v>343500</v>
      </c>
      <c r="K223" s="60">
        <v>321000</v>
      </c>
      <c r="L223" s="3"/>
    </row>
    <row r="224" spans="1:12" ht="11.25" customHeight="1">
      <c r="B224" s="48">
        <v>219</v>
      </c>
      <c r="C224" s="56" t="s">
        <v>18</v>
      </c>
      <c r="D224" s="56" t="s">
        <v>4</v>
      </c>
      <c r="E224" s="56">
        <v>60</v>
      </c>
      <c r="F224" s="57" t="s">
        <v>22</v>
      </c>
      <c r="G224" s="58">
        <f>0.315-0.042-0.065-0.067</f>
        <v>0.14100000000000001</v>
      </c>
      <c r="H224" s="59" t="s">
        <v>195</v>
      </c>
      <c r="I224" s="43">
        <f t="shared" si="6"/>
        <v>345500</v>
      </c>
      <c r="J224" s="49">
        <f t="shared" si="7"/>
        <v>343500</v>
      </c>
      <c r="K224" s="60">
        <v>321000</v>
      </c>
      <c r="L224" s="3"/>
    </row>
    <row r="225" spans="1:12" ht="11.25" customHeight="1">
      <c r="B225" s="48">
        <v>220</v>
      </c>
      <c r="C225" s="56" t="s">
        <v>18</v>
      </c>
      <c r="D225" s="56" t="s">
        <v>4</v>
      </c>
      <c r="E225" s="56">
        <v>62</v>
      </c>
      <c r="F225" s="57" t="s">
        <v>23</v>
      </c>
      <c r="G225" s="58">
        <v>0.30499999999999999</v>
      </c>
      <c r="H225" s="59" t="s">
        <v>195</v>
      </c>
      <c r="I225" s="43">
        <f t="shared" si="6"/>
        <v>345500</v>
      </c>
      <c r="J225" s="49">
        <f t="shared" si="7"/>
        <v>343500</v>
      </c>
      <c r="K225" s="60">
        <v>321000</v>
      </c>
      <c r="L225" s="3"/>
    </row>
    <row r="226" spans="1:12" ht="12" customHeight="1">
      <c r="B226" s="48">
        <v>221</v>
      </c>
      <c r="C226" s="56" t="s">
        <v>18</v>
      </c>
      <c r="D226" s="56" t="s">
        <v>4</v>
      </c>
      <c r="E226" s="56">
        <v>62</v>
      </c>
      <c r="F226" s="57" t="s">
        <v>24</v>
      </c>
      <c r="G226" s="58">
        <v>1.665</v>
      </c>
      <c r="H226" s="59" t="s">
        <v>195</v>
      </c>
      <c r="I226" s="43">
        <f t="shared" si="6"/>
        <v>345500</v>
      </c>
      <c r="J226" s="49">
        <f t="shared" si="7"/>
        <v>343500</v>
      </c>
      <c r="K226" s="60">
        <v>321000</v>
      </c>
      <c r="L226" s="3"/>
    </row>
    <row r="227" spans="1:12" ht="12" customHeight="1">
      <c r="B227" s="48">
        <v>222</v>
      </c>
      <c r="C227" s="56" t="s">
        <v>18</v>
      </c>
      <c r="D227" s="56" t="s">
        <v>4</v>
      </c>
      <c r="E227" s="56">
        <v>62</v>
      </c>
      <c r="F227" s="57" t="s">
        <v>25</v>
      </c>
      <c r="G227" s="58">
        <v>1.1499999999999999</v>
      </c>
      <c r="H227" s="59" t="s">
        <v>195</v>
      </c>
      <c r="I227" s="43">
        <f t="shared" si="6"/>
        <v>345500</v>
      </c>
      <c r="J227" s="49">
        <f t="shared" si="7"/>
        <v>343500</v>
      </c>
      <c r="K227" s="60">
        <v>321000</v>
      </c>
      <c r="L227" s="5"/>
    </row>
    <row r="228" spans="1:12" ht="12" customHeight="1">
      <c r="B228" s="48">
        <v>223</v>
      </c>
      <c r="C228" s="56" t="s">
        <v>18</v>
      </c>
      <c r="D228" s="56" t="s">
        <v>4</v>
      </c>
      <c r="E228" s="56">
        <v>62</v>
      </c>
      <c r="F228" s="57" t="s">
        <v>13</v>
      </c>
      <c r="G228" s="58">
        <v>2.16</v>
      </c>
      <c r="H228" s="59" t="s">
        <v>195</v>
      </c>
      <c r="I228" s="43">
        <f t="shared" si="6"/>
        <v>345500</v>
      </c>
      <c r="J228" s="49">
        <f t="shared" si="7"/>
        <v>343500</v>
      </c>
      <c r="K228" s="60">
        <v>321000</v>
      </c>
      <c r="L228" s="3"/>
    </row>
    <row r="229" spans="1:12" customFormat="1" ht="12" customHeight="1">
      <c r="A229" s="4"/>
      <c r="B229" s="48">
        <v>224</v>
      </c>
      <c r="C229" s="56" t="s">
        <v>18</v>
      </c>
      <c r="D229" s="56" t="s">
        <v>4</v>
      </c>
      <c r="E229" s="56">
        <v>62</v>
      </c>
      <c r="F229" s="57" t="s">
        <v>26</v>
      </c>
      <c r="G229" s="58">
        <v>1.18</v>
      </c>
      <c r="H229" s="59" t="s">
        <v>195</v>
      </c>
      <c r="I229" s="43">
        <f t="shared" si="6"/>
        <v>345500</v>
      </c>
      <c r="J229" s="49">
        <f t="shared" si="7"/>
        <v>343500</v>
      </c>
      <c r="K229" s="60">
        <v>321000</v>
      </c>
    </row>
    <row r="230" spans="1:12" customFormat="1" ht="12" customHeight="1">
      <c r="A230" s="4"/>
      <c r="B230" s="48">
        <v>225</v>
      </c>
      <c r="C230" s="56" t="s">
        <v>18</v>
      </c>
      <c r="D230" s="56" t="s">
        <v>4</v>
      </c>
      <c r="E230" s="56">
        <v>62</v>
      </c>
      <c r="F230" s="57" t="s">
        <v>27</v>
      </c>
      <c r="G230" s="58">
        <f>1.71-0.071</f>
        <v>1.639</v>
      </c>
      <c r="H230" s="59" t="s">
        <v>195</v>
      </c>
      <c r="I230" s="43">
        <f t="shared" si="6"/>
        <v>345500</v>
      </c>
      <c r="J230" s="49">
        <f t="shared" si="7"/>
        <v>343500</v>
      </c>
      <c r="K230" s="60">
        <v>321000</v>
      </c>
    </row>
    <row r="231" spans="1:12" ht="12" customHeight="1">
      <c r="B231" s="48">
        <v>226</v>
      </c>
      <c r="C231" s="56" t="s">
        <v>18</v>
      </c>
      <c r="D231" s="56" t="s">
        <v>4</v>
      </c>
      <c r="E231" s="56">
        <v>62</v>
      </c>
      <c r="F231" s="57" t="s">
        <v>28</v>
      </c>
      <c r="G231" s="58">
        <v>1.32</v>
      </c>
      <c r="H231" s="59" t="s">
        <v>195</v>
      </c>
      <c r="I231" s="43">
        <f t="shared" si="6"/>
        <v>345500</v>
      </c>
      <c r="J231" s="49">
        <f t="shared" si="7"/>
        <v>343500</v>
      </c>
      <c r="K231" s="60">
        <v>321000</v>
      </c>
      <c r="L231" s="3"/>
    </row>
    <row r="232" spans="1:12" customFormat="1" ht="12" customHeight="1">
      <c r="A232" s="4"/>
      <c r="B232" s="48">
        <v>227</v>
      </c>
      <c r="C232" s="56" t="s">
        <v>18</v>
      </c>
      <c r="D232" s="56" t="s">
        <v>4</v>
      </c>
      <c r="E232" s="56">
        <v>62</v>
      </c>
      <c r="F232" s="57">
        <v>1305</v>
      </c>
      <c r="G232" s="58">
        <f>1.185-0.086</f>
        <v>1.099</v>
      </c>
      <c r="H232" s="59" t="s">
        <v>195</v>
      </c>
      <c r="I232" s="43">
        <f t="shared" si="6"/>
        <v>345500</v>
      </c>
      <c r="J232" s="49">
        <f t="shared" si="7"/>
        <v>343500</v>
      </c>
      <c r="K232" s="60">
        <v>321000</v>
      </c>
    </row>
    <row r="233" spans="1:12" ht="12" customHeight="1">
      <c r="B233" s="48">
        <v>228</v>
      </c>
      <c r="C233" s="56" t="s">
        <v>18</v>
      </c>
      <c r="D233" s="56" t="s">
        <v>4</v>
      </c>
      <c r="E233" s="56">
        <v>71</v>
      </c>
      <c r="F233" s="57">
        <v>630</v>
      </c>
      <c r="G233" s="58">
        <v>1.9E-2</v>
      </c>
      <c r="H233" s="59" t="s">
        <v>195</v>
      </c>
      <c r="I233" s="43">
        <f t="shared" si="6"/>
        <v>345500</v>
      </c>
      <c r="J233" s="49">
        <f t="shared" si="7"/>
        <v>343500</v>
      </c>
      <c r="K233" s="60">
        <v>321000</v>
      </c>
      <c r="L233" s="3"/>
    </row>
    <row r="234" spans="1:12" ht="12" customHeight="1">
      <c r="B234" s="48">
        <v>229</v>
      </c>
      <c r="C234" s="56" t="s">
        <v>18</v>
      </c>
      <c r="D234" s="56" t="s">
        <v>4</v>
      </c>
      <c r="E234" s="56">
        <v>72</v>
      </c>
      <c r="F234" s="57">
        <v>1070</v>
      </c>
      <c r="G234" s="58">
        <v>3.3000000000000002E-2</v>
      </c>
      <c r="H234" s="59" t="s">
        <v>195</v>
      </c>
      <c r="I234" s="43">
        <f t="shared" si="6"/>
        <v>345500</v>
      </c>
      <c r="J234" s="49">
        <f t="shared" si="7"/>
        <v>343500</v>
      </c>
      <c r="K234" s="60">
        <v>321000</v>
      </c>
      <c r="L234" s="5"/>
    </row>
    <row r="235" spans="1:12" ht="12" customHeight="1">
      <c r="B235" s="48">
        <v>230</v>
      </c>
      <c r="C235" s="56" t="s">
        <v>18</v>
      </c>
      <c r="D235" s="56" t="s">
        <v>4</v>
      </c>
      <c r="E235" s="56">
        <v>80</v>
      </c>
      <c r="F235" s="57">
        <v>1200</v>
      </c>
      <c r="G235" s="58">
        <f>0.455-0.047-0.084</f>
        <v>0.32400000000000001</v>
      </c>
      <c r="H235" s="59" t="s">
        <v>195</v>
      </c>
      <c r="I235" s="43">
        <f t="shared" si="6"/>
        <v>345500</v>
      </c>
      <c r="J235" s="49">
        <f t="shared" si="7"/>
        <v>343500</v>
      </c>
      <c r="K235" s="60">
        <v>321000</v>
      </c>
      <c r="L235" s="3"/>
    </row>
    <row r="236" spans="1:12" ht="12" customHeight="1">
      <c r="B236" s="48">
        <v>231</v>
      </c>
      <c r="C236" s="56" t="s">
        <v>18</v>
      </c>
      <c r="D236" s="56" t="s">
        <v>4</v>
      </c>
      <c r="E236" s="56">
        <v>100</v>
      </c>
      <c r="F236" s="57">
        <v>1120</v>
      </c>
      <c r="G236" s="58">
        <v>7.0000000000000007E-2</v>
      </c>
      <c r="H236" s="59" t="s">
        <v>6</v>
      </c>
      <c r="I236" s="43">
        <f t="shared" si="6"/>
        <v>345500</v>
      </c>
      <c r="J236" s="49">
        <f t="shared" si="7"/>
        <v>343500</v>
      </c>
      <c r="K236" s="60">
        <v>321000</v>
      </c>
      <c r="L236" s="3"/>
    </row>
    <row r="237" spans="1:12" ht="12" customHeight="1">
      <c r="B237" s="48">
        <v>232</v>
      </c>
      <c r="C237" s="56" t="s">
        <v>18</v>
      </c>
      <c r="D237" s="56" t="s">
        <v>4</v>
      </c>
      <c r="E237" s="56">
        <v>120</v>
      </c>
      <c r="F237" s="57">
        <v>1905</v>
      </c>
      <c r="G237" s="58">
        <v>0.16800000000000001</v>
      </c>
      <c r="H237" s="59" t="s">
        <v>195</v>
      </c>
      <c r="I237" s="43">
        <f t="shared" si="6"/>
        <v>345500</v>
      </c>
      <c r="J237" s="49">
        <f t="shared" si="7"/>
        <v>343500</v>
      </c>
      <c r="K237" s="60">
        <v>321000</v>
      </c>
      <c r="L237" s="5"/>
    </row>
    <row r="238" spans="1:12" customFormat="1" ht="12" customHeight="1">
      <c r="A238" s="4"/>
      <c r="B238" s="48">
        <v>233</v>
      </c>
      <c r="C238" s="56" t="s">
        <v>272</v>
      </c>
      <c r="D238" s="56" t="s">
        <v>4</v>
      </c>
      <c r="E238" s="56">
        <v>8</v>
      </c>
      <c r="F238" s="57">
        <v>1000</v>
      </c>
      <c r="G238" s="58">
        <v>3.0000000000000001E-3</v>
      </c>
      <c r="H238" s="59" t="s">
        <v>255</v>
      </c>
      <c r="I238" s="43">
        <f t="shared" si="6"/>
        <v>574500</v>
      </c>
      <c r="J238" s="49">
        <f t="shared" si="7"/>
        <v>572500</v>
      </c>
      <c r="K238" s="60">
        <v>535000</v>
      </c>
    </row>
    <row r="239" spans="1:12" customFormat="1" ht="12" customHeight="1">
      <c r="A239" s="4"/>
      <c r="B239" s="48">
        <v>234</v>
      </c>
      <c r="C239" s="56" t="s">
        <v>272</v>
      </c>
      <c r="D239" s="56" t="s">
        <v>4</v>
      </c>
      <c r="E239" s="56">
        <v>14</v>
      </c>
      <c r="F239" s="57">
        <v>3370</v>
      </c>
      <c r="G239" s="58">
        <v>4.0000000000000001E-3</v>
      </c>
      <c r="H239" s="59" t="s">
        <v>195</v>
      </c>
      <c r="I239" s="43">
        <f t="shared" si="6"/>
        <v>574500</v>
      </c>
      <c r="J239" s="49">
        <f t="shared" si="7"/>
        <v>572500</v>
      </c>
      <c r="K239" s="60">
        <v>535000</v>
      </c>
    </row>
    <row r="240" spans="1:12" customFormat="1" ht="12" customHeight="1">
      <c r="A240" s="4"/>
      <c r="B240" s="48">
        <v>235</v>
      </c>
      <c r="C240" s="56" t="s">
        <v>272</v>
      </c>
      <c r="D240" s="56" t="s">
        <v>4</v>
      </c>
      <c r="E240" s="56">
        <v>80</v>
      </c>
      <c r="F240" s="57">
        <v>950</v>
      </c>
      <c r="G240" s="58">
        <v>3.6999999999999998E-2</v>
      </c>
      <c r="H240" s="59" t="s">
        <v>195</v>
      </c>
      <c r="I240" s="43">
        <f t="shared" si="6"/>
        <v>431400</v>
      </c>
      <c r="J240" s="49">
        <f t="shared" si="7"/>
        <v>429400</v>
      </c>
      <c r="K240" s="60">
        <v>401300</v>
      </c>
    </row>
    <row r="241" spans="1:12" customFormat="1" ht="12" customHeight="1">
      <c r="A241" s="4"/>
      <c r="B241" s="48">
        <v>236</v>
      </c>
      <c r="C241" s="56" t="s">
        <v>272</v>
      </c>
      <c r="D241" s="56" t="s">
        <v>4</v>
      </c>
      <c r="E241" s="56">
        <v>100</v>
      </c>
      <c r="F241" s="57">
        <v>2580</v>
      </c>
      <c r="G241" s="58">
        <v>0.16</v>
      </c>
      <c r="H241" s="59" t="s">
        <v>195</v>
      </c>
      <c r="I241" s="43">
        <f t="shared" si="6"/>
        <v>391300</v>
      </c>
      <c r="J241" s="49">
        <f t="shared" si="7"/>
        <v>389300</v>
      </c>
      <c r="K241" s="60">
        <v>363800</v>
      </c>
    </row>
    <row r="242" spans="1:12" ht="12" customHeight="1">
      <c r="B242" s="48">
        <v>237</v>
      </c>
      <c r="C242" s="56" t="s">
        <v>272</v>
      </c>
      <c r="D242" s="56" t="s">
        <v>4</v>
      </c>
      <c r="E242" s="56">
        <v>140</v>
      </c>
      <c r="F242" s="57">
        <v>2345</v>
      </c>
      <c r="G242" s="58">
        <v>0.28599999999999998</v>
      </c>
      <c r="H242" s="59" t="s">
        <v>260</v>
      </c>
      <c r="I242" s="43">
        <f t="shared" si="6"/>
        <v>391300</v>
      </c>
      <c r="J242" s="49">
        <f t="shared" si="7"/>
        <v>389300</v>
      </c>
      <c r="K242" s="60">
        <v>363800</v>
      </c>
      <c r="L242" s="3"/>
    </row>
    <row r="243" spans="1:12" ht="12" customHeight="1">
      <c r="B243" s="48">
        <v>238</v>
      </c>
      <c r="C243" s="56" t="s">
        <v>272</v>
      </c>
      <c r="D243" s="56" t="s">
        <v>4</v>
      </c>
      <c r="E243" s="56">
        <v>140</v>
      </c>
      <c r="F243" s="57">
        <v>2485</v>
      </c>
      <c r="G243" s="58">
        <v>0.31</v>
      </c>
      <c r="H243" s="59" t="s">
        <v>260</v>
      </c>
      <c r="I243" s="43">
        <f t="shared" si="6"/>
        <v>391300</v>
      </c>
      <c r="J243" s="49">
        <f t="shared" si="7"/>
        <v>389300</v>
      </c>
      <c r="K243" s="60">
        <v>363800</v>
      </c>
      <c r="L243" s="3"/>
    </row>
    <row r="244" spans="1:12" ht="12" customHeight="1">
      <c r="B244" s="48">
        <v>239</v>
      </c>
      <c r="C244" s="56" t="s">
        <v>272</v>
      </c>
      <c r="D244" s="56" t="s">
        <v>4</v>
      </c>
      <c r="E244" s="56">
        <v>180</v>
      </c>
      <c r="F244" s="57">
        <v>1540</v>
      </c>
      <c r="G244" s="58">
        <v>0.32800000000000001</v>
      </c>
      <c r="H244" s="59" t="s">
        <v>306</v>
      </c>
      <c r="I244" s="43">
        <f t="shared" si="6"/>
        <v>391300</v>
      </c>
      <c r="J244" s="49">
        <f t="shared" si="7"/>
        <v>389300</v>
      </c>
      <c r="K244" s="60">
        <v>363800</v>
      </c>
      <c r="L244" s="3"/>
    </row>
    <row r="245" spans="1:12" ht="12" customHeight="1">
      <c r="B245" s="48">
        <v>240</v>
      </c>
      <c r="C245" s="56" t="s">
        <v>272</v>
      </c>
      <c r="D245" s="56" t="s">
        <v>4</v>
      </c>
      <c r="E245" s="56">
        <v>500</v>
      </c>
      <c r="F245" s="57">
        <v>810</v>
      </c>
      <c r="G245" s="58">
        <v>1.29</v>
      </c>
      <c r="H245" s="59" t="s">
        <v>260</v>
      </c>
      <c r="I245" s="43">
        <f t="shared" si="6"/>
        <v>631700</v>
      </c>
      <c r="J245" s="49">
        <f t="shared" si="7"/>
        <v>629700</v>
      </c>
      <c r="K245" s="60">
        <v>588500</v>
      </c>
      <c r="L245" s="3"/>
    </row>
    <row r="246" spans="1:12" ht="12" customHeight="1">
      <c r="B246" s="48">
        <v>241</v>
      </c>
      <c r="C246" s="56" t="s">
        <v>30</v>
      </c>
      <c r="D246" s="56" t="s">
        <v>4</v>
      </c>
      <c r="E246" s="56">
        <v>10</v>
      </c>
      <c r="F246" s="57">
        <v>2600</v>
      </c>
      <c r="G246" s="58">
        <v>3.5000000000000003E-2</v>
      </c>
      <c r="H246" s="59" t="s">
        <v>195</v>
      </c>
      <c r="I246" s="43">
        <f t="shared" si="6"/>
        <v>574500</v>
      </c>
      <c r="J246" s="49">
        <f t="shared" si="7"/>
        <v>572500</v>
      </c>
      <c r="K246" s="60">
        <v>535000</v>
      </c>
      <c r="L246" s="3"/>
    </row>
    <row r="247" spans="1:12" ht="12" customHeight="1">
      <c r="B247" s="48">
        <v>242</v>
      </c>
      <c r="C247" s="56" t="s">
        <v>31</v>
      </c>
      <c r="D247" s="56" t="s">
        <v>4</v>
      </c>
      <c r="E247" s="56">
        <v>230</v>
      </c>
      <c r="F247" s="57">
        <v>3230</v>
      </c>
      <c r="G247" s="58">
        <v>1.2549999999999999</v>
      </c>
      <c r="H247" s="59" t="s">
        <v>6</v>
      </c>
      <c r="I247" s="43">
        <f t="shared" si="6"/>
        <v>121800</v>
      </c>
      <c r="J247" s="49">
        <f t="shared" si="7"/>
        <v>119800</v>
      </c>
      <c r="K247" s="60">
        <v>111900</v>
      </c>
      <c r="L247" s="3"/>
    </row>
    <row r="248" spans="1:12" ht="12" customHeight="1">
      <c r="B248" s="48">
        <v>243</v>
      </c>
      <c r="C248" s="56" t="s">
        <v>31</v>
      </c>
      <c r="D248" s="56" t="s">
        <v>4</v>
      </c>
      <c r="E248" s="56">
        <v>250</v>
      </c>
      <c r="F248" s="57">
        <v>2820</v>
      </c>
      <c r="G248" s="58">
        <v>1.04</v>
      </c>
      <c r="H248" s="59" t="s">
        <v>6</v>
      </c>
      <c r="I248" s="43">
        <f t="shared" si="6"/>
        <v>121800</v>
      </c>
      <c r="J248" s="49">
        <f t="shared" si="7"/>
        <v>119800</v>
      </c>
      <c r="K248" s="60">
        <v>111900</v>
      </c>
      <c r="L248" s="3"/>
    </row>
    <row r="249" spans="1:12" ht="12" customHeight="1">
      <c r="B249" s="48">
        <v>244</v>
      </c>
      <c r="C249" s="56" t="s">
        <v>270</v>
      </c>
      <c r="D249" s="56" t="s">
        <v>4</v>
      </c>
      <c r="E249" s="56">
        <v>24</v>
      </c>
      <c r="F249" s="57">
        <v>2075</v>
      </c>
      <c r="G249" s="58">
        <v>3.7999999999999999E-2</v>
      </c>
      <c r="H249" s="59" t="s">
        <v>279</v>
      </c>
      <c r="I249" s="43">
        <f t="shared" si="6"/>
        <v>460000</v>
      </c>
      <c r="J249" s="49">
        <f t="shared" si="7"/>
        <v>458000</v>
      </c>
      <c r="K249" s="60">
        <v>428000</v>
      </c>
      <c r="L249" s="3"/>
    </row>
    <row r="250" spans="1:12" ht="12" customHeight="1">
      <c r="B250" s="48">
        <v>245</v>
      </c>
      <c r="C250" s="56" t="s">
        <v>270</v>
      </c>
      <c r="D250" s="56" t="s">
        <v>4</v>
      </c>
      <c r="E250" s="56">
        <v>40</v>
      </c>
      <c r="F250" s="57">
        <v>3810</v>
      </c>
      <c r="G250" s="58">
        <v>3.7999999999999999E-2</v>
      </c>
      <c r="H250" s="59" t="s">
        <v>195</v>
      </c>
      <c r="I250" s="43">
        <f t="shared" si="6"/>
        <v>402800</v>
      </c>
      <c r="J250" s="49">
        <f t="shared" si="7"/>
        <v>400800</v>
      </c>
      <c r="K250" s="60">
        <v>374500</v>
      </c>
      <c r="L250" s="3"/>
    </row>
    <row r="251" spans="1:12" s="13" customFormat="1" ht="12" customHeight="1">
      <c r="B251" s="48">
        <v>246</v>
      </c>
      <c r="C251" s="56" t="s">
        <v>270</v>
      </c>
      <c r="D251" s="56" t="s">
        <v>4</v>
      </c>
      <c r="E251" s="56">
        <v>60</v>
      </c>
      <c r="F251" s="57">
        <v>2610</v>
      </c>
      <c r="G251" s="58">
        <v>5.8000000000000003E-2</v>
      </c>
      <c r="H251" s="59" t="s">
        <v>280</v>
      </c>
      <c r="I251" s="43">
        <f t="shared" si="6"/>
        <v>460000</v>
      </c>
      <c r="J251" s="49">
        <f t="shared" si="7"/>
        <v>458000</v>
      </c>
      <c r="K251" s="60">
        <v>428000</v>
      </c>
    </row>
    <row r="252" spans="1:12" ht="12" customHeight="1">
      <c r="B252" s="48">
        <v>247</v>
      </c>
      <c r="C252" s="56" t="s">
        <v>273</v>
      </c>
      <c r="D252" s="56" t="s">
        <v>4</v>
      </c>
      <c r="E252" s="56">
        <v>22</v>
      </c>
      <c r="F252" s="57">
        <v>6050</v>
      </c>
      <c r="G252" s="58">
        <v>0.107</v>
      </c>
      <c r="H252" s="59" t="s">
        <v>195</v>
      </c>
      <c r="I252" s="43">
        <f t="shared" si="6"/>
        <v>82200</v>
      </c>
      <c r="J252" s="49">
        <f t="shared" si="7"/>
        <v>80200</v>
      </c>
      <c r="K252" s="60">
        <v>74900</v>
      </c>
      <c r="L252" s="3"/>
    </row>
    <row r="253" spans="1:12" ht="12" customHeight="1">
      <c r="B253" s="48">
        <v>248</v>
      </c>
      <c r="C253" s="56" t="s">
        <v>32</v>
      </c>
      <c r="D253" s="56" t="s">
        <v>4</v>
      </c>
      <c r="E253" s="56">
        <v>48</v>
      </c>
      <c r="F253" s="57">
        <v>2150</v>
      </c>
      <c r="G253" s="58">
        <v>3.1E-2</v>
      </c>
      <c r="H253" s="78" t="s">
        <v>195</v>
      </c>
      <c r="I253" s="43">
        <f t="shared" si="6"/>
        <v>82200</v>
      </c>
      <c r="J253" s="49">
        <f t="shared" si="7"/>
        <v>80200</v>
      </c>
      <c r="K253" s="60">
        <v>74900</v>
      </c>
      <c r="L253" s="3"/>
    </row>
    <row r="254" spans="1:12" ht="12" customHeight="1">
      <c r="B254" s="48">
        <v>249</v>
      </c>
      <c r="C254" s="56" t="s">
        <v>33</v>
      </c>
      <c r="D254" s="56" t="s">
        <v>4</v>
      </c>
      <c r="E254" s="56">
        <v>14</v>
      </c>
      <c r="F254" s="57">
        <v>3740</v>
      </c>
      <c r="G254" s="58">
        <v>4.0000000000000001E-3</v>
      </c>
      <c r="H254" s="59" t="s">
        <v>195</v>
      </c>
      <c r="I254" s="43">
        <f t="shared" si="6"/>
        <v>82200</v>
      </c>
      <c r="J254" s="49">
        <f t="shared" si="7"/>
        <v>80200</v>
      </c>
      <c r="K254" s="60">
        <v>74900</v>
      </c>
      <c r="L254" s="3"/>
    </row>
    <row r="255" spans="1:12" ht="12" customHeight="1">
      <c r="B255" s="48">
        <v>250</v>
      </c>
      <c r="C255" s="74" t="s">
        <v>33</v>
      </c>
      <c r="D255" s="74" t="s">
        <v>4</v>
      </c>
      <c r="E255" s="74">
        <v>20</v>
      </c>
      <c r="F255" s="77">
        <v>3750</v>
      </c>
      <c r="G255" s="75">
        <v>2.3E-2</v>
      </c>
      <c r="H255" s="78" t="s">
        <v>195</v>
      </c>
      <c r="I255" s="43">
        <f t="shared" si="6"/>
        <v>82200</v>
      </c>
      <c r="J255" s="49">
        <f t="shared" si="7"/>
        <v>80200</v>
      </c>
      <c r="K255" s="60">
        <v>74900</v>
      </c>
      <c r="L255" s="3"/>
    </row>
    <row r="256" spans="1:12" ht="12" customHeight="1">
      <c r="B256" s="48">
        <v>251</v>
      </c>
      <c r="C256" s="74" t="s">
        <v>33</v>
      </c>
      <c r="D256" s="74" t="s">
        <v>4</v>
      </c>
      <c r="E256" s="74">
        <v>22</v>
      </c>
      <c r="F256" s="77">
        <v>2260</v>
      </c>
      <c r="G256" s="75">
        <f>0.17-0.012</f>
        <v>0.158</v>
      </c>
      <c r="H256" s="78" t="s">
        <v>195</v>
      </c>
      <c r="I256" s="43">
        <f t="shared" si="6"/>
        <v>82200</v>
      </c>
      <c r="J256" s="49">
        <f t="shared" si="7"/>
        <v>80200</v>
      </c>
      <c r="K256" s="60">
        <v>74900</v>
      </c>
      <c r="L256" s="3"/>
    </row>
    <row r="257" spans="2:12" ht="12" customHeight="1">
      <c r="B257" s="48">
        <v>252</v>
      </c>
      <c r="C257" s="74" t="s">
        <v>33</v>
      </c>
      <c r="D257" s="74" t="s">
        <v>4</v>
      </c>
      <c r="E257" s="56">
        <v>22</v>
      </c>
      <c r="F257" s="57">
        <v>4700</v>
      </c>
      <c r="G257" s="58">
        <v>8.5000000000000006E-2</v>
      </c>
      <c r="H257" s="59" t="s">
        <v>195</v>
      </c>
      <c r="I257" s="43">
        <f t="shared" si="6"/>
        <v>82200</v>
      </c>
      <c r="J257" s="49">
        <f t="shared" si="7"/>
        <v>80200</v>
      </c>
      <c r="K257" s="60">
        <v>74900</v>
      </c>
      <c r="L257" s="3"/>
    </row>
    <row r="258" spans="2:12" ht="12" customHeight="1">
      <c r="B258" s="48">
        <v>253</v>
      </c>
      <c r="C258" s="74" t="s">
        <v>33</v>
      </c>
      <c r="D258" s="74" t="s">
        <v>4</v>
      </c>
      <c r="E258" s="74">
        <v>26</v>
      </c>
      <c r="F258" s="77">
        <v>6030</v>
      </c>
      <c r="G258" s="75">
        <v>7.4999999999999997E-2</v>
      </c>
      <c r="H258" s="78" t="s">
        <v>195</v>
      </c>
      <c r="I258" s="43">
        <f t="shared" si="6"/>
        <v>82200</v>
      </c>
      <c r="J258" s="49">
        <f t="shared" si="7"/>
        <v>80200</v>
      </c>
      <c r="K258" s="60">
        <v>74900</v>
      </c>
      <c r="L258" s="3"/>
    </row>
    <row r="259" spans="2:12" ht="12" customHeight="1">
      <c r="B259" s="48">
        <v>254</v>
      </c>
      <c r="C259" s="56" t="s">
        <v>33</v>
      </c>
      <c r="D259" s="56" t="s">
        <v>4</v>
      </c>
      <c r="E259" s="56">
        <v>38</v>
      </c>
      <c r="F259" s="57">
        <v>2820</v>
      </c>
      <c r="G259" s="58">
        <v>2.5000000000000001E-2</v>
      </c>
      <c r="H259" s="59" t="s">
        <v>195</v>
      </c>
      <c r="I259" s="43">
        <f t="shared" si="6"/>
        <v>82200</v>
      </c>
      <c r="J259" s="49">
        <f t="shared" si="7"/>
        <v>80200</v>
      </c>
      <c r="K259" s="60">
        <v>74900</v>
      </c>
      <c r="L259" s="3"/>
    </row>
    <row r="260" spans="2:12" ht="12" customHeight="1">
      <c r="B260" s="48">
        <v>255</v>
      </c>
      <c r="C260" s="56" t="s">
        <v>33</v>
      </c>
      <c r="D260" s="56" t="s">
        <v>4</v>
      </c>
      <c r="E260" s="56">
        <v>40</v>
      </c>
      <c r="F260" s="57">
        <v>2020</v>
      </c>
      <c r="G260" s="58">
        <f>0.865-0.103</f>
        <v>0.76200000000000001</v>
      </c>
      <c r="H260" s="59" t="s">
        <v>195</v>
      </c>
      <c r="I260" s="43">
        <f t="shared" si="6"/>
        <v>82200</v>
      </c>
      <c r="J260" s="49">
        <f t="shared" si="7"/>
        <v>80200</v>
      </c>
      <c r="K260" s="60">
        <v>74900</v>
      </c>
      <c r="L260" s="3"/>
    </row>
    <row r="261" spans="2:12" ht="12" customHeight="1">
      <c r="B261" s="48">
        <v>256</v>
      </c>
      <c r="C261" s="56" t="s">
        <v>33</v>
      </c>
      <c r="D261" s="56" t="s">
        <v>4</v>
      </c>
      <c r="E261" s="56">
        <v>50</v>
      </c>
      <c r="F261" s="57">
        <v>4040</v>
      </c>
      <c r="G261" s="58">
        <f>0.024+0.062+0.064-0.024</f>
        <v>0.126</v>
      </c>
      <c r="H261" s="59" t="s">
        <v>195</v>
      </c>
      <c r="I261" s="43">
        <f t="shared" si="6"/>
        <v>82200</v>
      </c>
      <c r="J261" s="49">
        <f t="shared" si="7"/>
        <v>80200</v>
      </c>
      <c r="K261" s="60">
        <v>74900</v>
      </c>
      <c r="L261" s="3"/>
    </row>
    <row r="262" spans="2:12" ht="12" customHeight="1">
      <c r="B262" s="48">
        <v>257</v>
      </c>
      <c r="C262" s="56" t="s">
        <v>287</v>
      </c>
      <c r="D262" s="56" t="s">
        <v>4</v>
      </c>
      <c r="E262" s="56">
        <v>100</v>
      </c>
      <c r="F262" s="57">
        <v>3295</v>
      </c>
      <c r="G262" s="58">
        <v>0.20200000000000001</v>
      </c>
      <c r="H262" s="59" t="s">
        <v>280</v>
      </c>
      <c r="I262" s="43">
        <f t="shared" ref="I262:I325" si="8">J262+2000</f>
        <v>494400</v>
      </c>
      <c r="J262" s="49">
        <f t="shared" si="7"/>
        <v>492400</v>
      </c>
      <c r="K262" s="60">
        <v>460100</v>
      </c>
      <c r="L262" s="5"/>
    </row>
    <row r="263" spans="2:12" ht="12" customHeight="1">
      <c r="B263" s="48">
        <v>258</v>
      </c>
      <c r="C263" s="56" t="s">
        <v>210</v>
      </c>
      <c r="D263" s="56" t="s">
        <v>4</v>
      </c>
      <c r="E263" s="56">
        <v>40</v>
      </c>
      <c r="F263" s="57">
        <v>3285</v>
      </c>
      <c r="G263" s="58">
        <v>3.2000000000000001E-2</v>
      </c>
      <c r="H263" s="59" t="s">
        <v>195</v>
      </c>
      <c r="I263" s="43">
        <f t="shared" si="8"/>
        <v>121800</v>
      </c>
      <c r="J263" s="49">
        <f t="shared" ref="J263:J326" si="9">ROUNDUP(K263*1.07,-2)</f>
        <v>119800</v>
      </c>
      <c r="K263" s="60">
        <v>111900</v>
      </c>
      <c r="L263" s="5"/>
    </row>
    <row r="264" spans="2:12" ht="12" customHeight="1">
      <c r="B264" s="48">
        <v>259</v>
      </c>
      <c r="C264" s="56" t="s">
        <v>210</v>
      </c>
      <c r="D264" s="56" t="s">
        <v>4</v>
      </c>
      <c r="E264" s="56">
        <v>55</v>
      </c>
      <c r="F264" s="57">
        <v>2640</v>
      </c>
      <c r="G264" s="58">
        <v>4.9000000000000002E-2</v>
      </c>
      <c r="H264" s="59" t="s">
        <v>195</v>
      </c>
      <c r="I264" s="43">
        <f t="shared" si="8"/>
        <v>145200</v>
      </c>
      <c r="J264" s="49">
        <f t="shared" si="9"/>
        <v>143200</v>
      </c>
      <c r="K264" s="60">
        <v>133800</v>
      </c>
      <c r="L264" s="3"/>
    </row>
    <row r="265" spans="2:12" ht="12" customHeight="1">
      <c r="B265" s="48">
        <v>260</v>
      </c>
      <c r="C265" s="56" t="s">
        <v>210</v>
      </c>
      <c r="D265" s="56" t="s">
        <v>4</v>
      </c>
      <c r="E265" s="56">
        <v>105</v>
      </c>
      <c r="F265" s="57">
        <v>1630</v>
      </c>
      <c r="G265" s="58">
        <v>0.11</v>
      </c>
      <c r="H265" s="59" t="s">
        <v>195</v>
      </c>
      <c r="I265" s="43">
        <f t="shared" si="8"/>
        <v>145200</v>
      </c>
      <c r="J265" s="49">
        <f t="shared" si="9"/>
        <v>143200</v>
      </c>
      <c r="K265" s="60">
        <v>133800</v>
      </c>
      <c r="L265" s="3"/>
    </row>
    <row r="266" spans="2:12" ht="12" customHeight="1">
      <c r="B266" s="48">
        <v>261</v>
      </c>
      <c r="C266" s="56" t="s">
        <v>35</v>
      </c>
      <c r="D266" s="56" t="s">
        <v>4</v>
      </c>
      <c r="E266" s="56">
        <v>70</v>
      </c>
      <c r="F266" s="57">
        <v>1340</v>
      </c>
      <c r="G266" s="58">
        <v>0.04</v>
      </c>
      <c r="H266" s="59" t="s">
        <v>195</v>
      </c>
      <c r="I266" s="43">
        <f t="shared" si="8"/>
        <v>145200</v>
      </c>
      <c r="J266" s="49">
        <f t="shared" si="9"/>
        <v>143200</v>
      </c>
      <c r="K266" s="60">
        <v>133800</v>
      </c>
      <c r="L266" s="5"/>
    </row>
    <row r="267" spans="2:12" ht="12" customHeight="1">
      <c r="B267" s="48">
        <v>262</v>
      </c>
      <c r="C267" s="56" t="s">
        <v>35</v>
      </c>
      <c r="D267" s="56" t="s">
        <v>4</v>
      </c>
      <c r="E267" s="56">
        <v>74</v>
      </c>
      <c r="F267" s="57">
        <v>2970</v>
      </c>
      <c r="G267" s="58">
        <v>0.21</v>
      </c>
      <c r="H267" s="59" t="s">
        <v>195</v>
      </c>
      <c r="I267" s="43">
        <f t="shared" si="8"/>
        <v>145200</v>
      </c>
      <c r="J267" s="49">
        <f t="shared" si="9"/>
        <v>143200</v>
      </c>
      <c r="K267" s="60">
        <v>133800</v>
      </c>
      <c r="L267" s="3"/>
    </row>
    <row r="268" spans="2:12" ht="12" customHeight="1">
      <c r="B268" s="48">
        <v>263</v>
      </c>
      <c r="C268" s="56" t="s">
        <v>35</v>
      </c>
      <c r="D268" s="56" t="s">
        <v>4</v>
      </c>
      <c r="E268" s="56">
        <v>80</v>
      </c>
      <c r="F268" s="57">
        <v>2615</v>
      </c>
      <c r="G268" s="58">
        <v>0.105</v>
      </c>
      <c r="H268" s="59" t="s">
        <v>195</v>
      </c>
      <c r="I268" s="43">
        <f t="shared" si="8"/>
        <v>145200</v>
      </c>
      <c r="J268" s="49">
        <f t="shared" si="9"/>
        <v>143200</v>
      </c>
      <c r="K268" s="60">
        <v>133800</v>
      </c>
      <c r="L268" s="5"/>
    </row>
    <row r="269" spans="2:12" ht="12" customHeight="1">
      <c r="B269" s="48">
        <v>264</v>
      </c>
      <c r="C269" s="56" t="s">
        <v>35</v>
      </c>
      <c r="D269" s="56" t="s">
        <v>4</v>
      </c>
      <c r="E269" s="56">
        <v>90</v>
      </c>
      <c r="F269" s="57">
        <v>2230</v>
      </c>
      <c r="G269" s="58">
        <v>0.111</v>
      </c>
      <c r="H269" s="59" t="s">
        <v>195</v>
      </c>
      <c r="I269" s="43">
        <f t="shared" si="8"/>
        <v>145200</v>
      </c>
      <c r="J269" s="49">
        <f t="shared" si="9"/>
        <v>143200</v>
      </c>
      <c r="K269" s="60">
        <v>133800</v>
      </c>
      <c r="L269" s="3"/>
    </row>
    <row r="270" spans="2:12" ht="12" customHeight="1">
      <c r="B270" s="48">
        <v>265</v>
      </c>
      <c r="C270" s="56" t="s">
        <v>35</v>
      </c>
      <c r="D270" s="56" t="s">
        <v>4</v>
      </c>
      <c r="E270" s="56">
        <v>90</v>
      </c>
      <c r="F270" s="57">
        <v>2240</v>
      </c>
      <c r="G270" s="58">
        <v>0.111</v>
      </c>
      <c r="H270" s="59" t="s">
        <v>195</v>
      </c>
      <c r="I270" s="43">
        <f t="shared" si="8"/>
        <v>145200</v>
      </c>
      <c r="J270" s="49">
        <f t="shared" si="9"/>
        <v>143200</v>
      </c>
      <c r="K270" s="60">
        <v>133800</v>
      </c>
      <c r="L270" s="3"/>
    </row>
    <row r="271" spans="2:12" ht="12" customHeight="1">
      <c r="B271" s="48">
        <v>266</v>
      </c>
      <c r="C271" s="56" t="s">
        <v>35</v>
      </c>
      <c r="D271" s="56" t="s">
        <v>4</v>
      </c>
      <c r="E271" s="56">
        <v>90</v>
      </c>
      <c r="F271" s="57">
        <v>2340</v>
      </c>
      <c r="G271" s="58">
        <v>0.11600000000000001</v>
      </c>
      <c r="H271" s="59" t="s">
        <v>195</v>
      </c>
      <c r="I271" s="43">
        <f t="shared" si="8"/>
        <v>145200</v>
      </c>
      <c r="J271" s="49">
        <f t="shared" si="9"/>
        <v>143200</v>
      </c>
      <c r="K271" s="60">
        <v>133800</v>
      </c>
      <c r="L271" s="3"/>
    </row>
    <row r="272" spans="2:12" ht="12" customHeight="1">
      <c r="B272" s="48">
        <v>267</v>
      </c>
      <c r="C272" s="56" t="s">
        <v>35</v>
      </c>
      <c r="D272" s="56" t="s">
        <v>4</v>
      </c>
      <c r="E272" s="56">
        <v>90</v>
      </c>
      <c r="F272" s="57">
        <v>2495</v>
      </c>
      <c r="G272" s="58">
        <v>0.124</v>
      </c>
      <c r="H272" s="59" t="s">
        <v>195</v>
      </c>
      <c r="I272" s="43">
        <f t="shared" si="8"/>
        <v>145200</v>
      </c>
      <c r="J272" s="49">
        <f t="shared" si="9"/>
        <v>143200</v>
      </c>
      <c r="K272" s="60">
        <v>133800</v>
      </c>
      <c r="L272" s="3"/>
    </row>
    <row r="273" spans="1:12" ht="12" customHeight="1">
      <c r="B273" s="48">
        <v>268</v>
      </c>
      <c r="C273" s="56" t="s">
        <v>35</v>
      </c>
      <c r="D273" s="56" t="s">
        <v>4</v>
      </c>
      <c r="E273" s="56">
        <v>90</v>
      </c>
      <c r="F273" s="57">
        <v>1465</v>
      </c>
      <c r="G273" s="58">
        <v>7.2999999999999995E-2</v>
      </c>
      <c r="H273" s="59" t="s">
        <v>195</v>
      </c>
      <c r="I273" s="43">
        <f t="shared" si="8"/>
        <v>145200</v>
      </c>
      <c r="J273" s="49">
        <f t="shared" si="9"/>
        <v>143200</v>
      </c>
      <c r="K273" s="60">
        <v>133800</v>
      </c>
      <c r="L273" s="3"/>
    </row>
    <row r="274" spans="1:12" ht="12" customHeight="1">
      <c r="B274" s="48">
        <v>269</v>
      </c>
      <c r="C274" s="56" t="s">
        <v>35</v>
      </c>
      <c r="D274" s="56" t="s">
        <v>4</v>
      </c>
      <c r="E274" s="56">
        <v>90</v>
      </c>
      <c r="F274" s="57">
        <v>2470</v>
      </c>
      <c r="G274" s="58">
        <v>0.123</v>
      </c>
      <c r="H274" s="59" t="s">
        <v>195</v>
      </c>
      <c r="I274" s="43">
        <f t="shared" si="8"/>
        <v>145200</v>
      </c>
      <c r="J274" s="49">
        <f t="shared" si="9"/>
        <v>143200</v>
      </c>
      <c r="K274" s="60">
        <v>133800</v>
      </c>
      <c r="L274" s="3"/>
    </row>
    <row r="275" spans="1:12" ht="12" customHeight="1">
      <c r="B275" s="48">
        <v>270</v>
      </c>
      <c r="C275" s="56" t="s">
        <v>35</v>
      </c>
      <c r="D275" s="56" t="s">
        <v>4</v>
      </c>
      <c r="E275" s="56">
        <v>90</v>
      </c>
      <c r="F275" s="57">
        <v>2275</v>
      </c>
      <c r="G275" s="58">
        <v>0.113</v>
      </c>
      <c r="H275" s="59" t="s">
        <v>195</v>
      </c>
      <c r="I275" s="43">
        <f t="shared" si="8"/>
        <v>145200</v>
      </c>
      <c r="J275" s="49">
        <f t="shared" si="9"/>
        <v>143200</v>
      </c>
      <c r="K275" s="60">
        <v>133800</v>
      </c>
      <c r="L275" s="3"/>
    </row>
    <row r="276" spans="1:12" ht="12" customHeight="1">
      <c r="B276" s="48">
        <v>271</v>
      </c>
      <c r="C276" s="56" t="s">
        <v>35</v>
      </c>
      <c r="D276" s="56" t="s">
        <v>4</v>
      </c>
      <c r="E276" s="56">
        <v>90</v>
      </c>
      <c r="F276" s="57">
        <v>1785</v>
      </c>
      <c r="G276" s="58">
        <v>8.8999999999999996E-2</v>
      </c>
      <c r="H276" s="59" t="s">
        <v>195</v>
      </c>
      <c r="I276" s="43">
        <f t="shared" si="8"/>
        <v>145200</v>
      </c>
      <c r="J276" s="49">
        <f t="shared" si="9"/>
        <v>143200</v>
      </c>
      <c r="K276" s="60">
        <v>133800</v>
      </c>
      <c r="L276" s="3"/>
    </row>
    <row r="277" spans="1:12" ht="12" customHeight="1">
      <c r="B277" s="48">
        <v>272</v>
      </c>
      <c r="C277" s="56" t="s">
        <v>35</v>
      </c>
      <c r="D277" s="56" t="s">
        <v>4</v>
      </c>
      <c r="E277" s="56">
        <v>90</v>
      </c>
      <c r="F277" s="57">
        <v>2340</v>
      </c>
      <c r="G277" s="58">
        <v>0.11600000000000001</v>
      </c>
      <c r="H277" s="59" t="s">
        <v>195</v>
      </c>
      <c r="I277" s="43">
        <f t="shared" si="8"/>
        <v>145200</v>
      </c>
      <c r="J277" s="49">
        <f t="shared" si="9"/>
        <v>143200</v>
      </c>
      <c r="K277" s="60">
        <v>133800</v>
      </c>
      <c r="L277" s="3"/>
    </row>
    <row r="278" spans="1:12" ht="12" customHeight="1">
      <c r="B278" s="48">
        <v>273</v>
      </c>
      <c r="C278" s="56" t="s">
        <v>35</v>
      </c>
      <c r="D278" s="56" t="s">
        <v>4</v>
      </c>
      <c r="E278" s="56">
        <v>90</v>
      </c>
      <c r="F278" s="57">
        <v>2300</v>
      </c>
      <c r="G278" s="58">
        <v>0.114</v>
      </c>
      <c r="H278" s="59" t="s">
        <v>195</v>
      </c>
      <c r="I278" s="43">
        <f t="shared" si="8"/>
        <v>145200</v>
      </c>
      <c r="J278" s="49">
        <f t="shared" si="9"/>
        <v>143200</v>
      </c>
      <c r="K278" s="60">
        <v>133800</v>
      </c>
      <c r="L278" s="3"/>
    </row>
    <row r="279" spans="1:12" ht="12" customHeight="1">
      <c r="B279" s="48">
        <v>274</v>
      </c>
      <c r="C279" s="56" t="s">
        <v>35</v>
      </c>
      <c r="D279" s="56" t="s">
        <v>4</v>
      </c>
      <c r="E279" s="56">
        <v>90</v>
      </c>
      <c r="F279" s="57">
        <v>2055</v>
      </c>
      <c r="G279" s="58">
        <v>0.10199999999999999</v>
      </c>
      <c r="H279" s="59" t="s">
        <v>195</v>
      </c>
      <c r="I279" s="43">
        <f t="shared" si="8"/>
        <v>145200</v>
      </c>
      <c r="J279" s="49">
        <f t="shared" si="9"/>
        <v>143200</v>
      </c>
      <c r="K279" s="60">
        <v>133800</v>
      </c>
      <c r="L279" s="3"/>
    </row>
    <row r="280" spans="1:12" s="11" customFormat="1" ht="12" customHeight="1">
      <c r="B280" s="48">
        <v>275</v>
      </c>
      <c r="C280" s="56" t="s">
        <v>35</v>
      </c>
      <c r="D280" s="56" t="s">
        <v>4</v>
      </c>
      <c r="E280" s="56">
        <v>90</v>
      </c>
      <c r="F280" s="57">
        <v>2295</v>
      </c>
      <c r="G280" s="58">
        <v>0.114</v>
      </c>
      <c r="H280" s="59" t="s">
        <v>195</v>
      </c>
      <c r="I280" s="43">
        <f t="shared" si="8"/>
        <v>145200</v>
      </c>
      <c r="J280" s="49">
        <f t="shared" si="9"/>
        <v>143200</v>
      </c>
      <c r="K280" s="60">
        <v>133800</v>
      </c>
      <c r="L280" s="3"/>
    </row>
    <row r="281" spans="1:12" customFormat="1" ht="12" customHeight="1">
      <c r="A281" s="4"/>
      <c r="B281" s="48">
        <v>276</v>
      </c>
      <c r="C281" s="56" t="s">
        <v>35</v>
      </c>
      <c r="D281" s="56" t="s">
        <v>4</v>
      </c>
      <c r="E281" s="56">
        <v>90</v>
      </c>
      <c r="F281" s="57">
        <v>2370</v>
      </c>
      <c r="G281" s="58">
        <v>0.11799999999999999</v>
      </c>
      <c r="H281" s="59" t="s">
        <v>195</v>
      </c>
      <c r="I281" s="43">
        <f t="shared" si="8"/>
        <v>145200</v>
      </c>
      <c r="J281" s="49">
        <f t="shared" si="9"/>
        <v>143200</v>
      </c>
      <c r="K281" s="60">
        <v>133800</v>
      </c>
    </row>
    <row r="282" spans="1:12" ht="12" customHeight="1">
      <c r="B282" s="48">
        <v>277</v>
      </c>
      <c r="C282" s="56" t="s">
        <v>35</v>
      </c>
      <c r="D282" s="56" t="s">
        <v>4</v>
      </c>
      <c r="E282" s="56">
        <v>90</v>
      </c>
      <c r="F282" s="57">
        <v>2275</v>
      </c>
      <c r="G282" s="58">
        <v>0.113</v>
      </c>
      <c r="H282" s="59" t="s">
        <v>195</v>
      </c>
      <c r="I282" s="43">
        <f t="shared" si="8"/>
        <v>145200</v>
      </c>
      <c r="J282" s="49">
        <f t="shared" si="9"/>
        <v>143200</v>
      </c>
      <c r="K282" s="60">
        <v>133800</v>
      </c>
      <c r="L282" s="3"/>
    </row>
    <row r="283" spans="1:12" ht="12" customHeight="1">
      <c r="B283" s="48">
        <v>278</v>
      </c>
      <c r="C283" s="56" t="s">
        <v>35</v>
      </c>
      <c r="D283" s="56" t="s">
        <v>4</v>
      </c>
      <c r="E283" s="56">
        <v>90</v>
      </c>
      <c r="F283" s="57">
        <v>2325</v>
      </c>
      <c r="G283" s="58">
        <v>0.11600000000000001</v>
      </c>
      <c r="H283" s="59" t="s">
        <v>195</v>
      </c>
      <c r="I283" s="43">
        <f t="shared" si="8"/>
        <v>145200</v>
      </c>
      <c r="J283" s="49">
        <f t="shared" si="9"/>
        <v>143200</v>
      </c>
      <c r="K283" s="60">
        <v>133800</v>
      </c>
      <c r="L283" s="3"/>
    </row>
    <row r="284" spans="1:12" ht="12" customHeight="1">
      <c r="B284" s="48">
        <v>279</v>
      </c>
      <c r="C284" s="56" t="s">
        <v>35</v>
      </c>
      <c r="D284" s="56" t="s">
        <v>4</v>
      </c>
      <c r="E284" s="56">
        <v>90</v>
      </c>
      <c r="F284" s="57">
        <v>2290</v>
      </c>
      <c r="G284" s="58">
        <v>0.114</v>
      </c>
      <c r="H284" s="59" t="s">
        <v>195</v>
      </c>
      <c r="I284" s="43">
        <f t="shared" si="8"/>
        <v>145200</v>
      </c>
      <c r="J284" s="49">
        <f t="shared" si="9"/>
        <v>143200</v>
      </c>
      <c r="K284" s="60">
        <v>133800</v>
      </c>
      <c r="L284" s="3"/>
    </row>
    <row r="285" spans="1:12" ht="12" customHeight="1">
      <c r="B285" s="48">
        <v>280</v>
      </c>
      <c r="C285" s="56" t="s">
        <v>35</v>
      </c>
      <c r="D285" s="56" t="s">
        <v>4</v>
      </c>
      <c r="E285" s="56">
        <v>90</v>
      </c>
      <c r="F285" s="57">
        <v>2250</v>
      </c>
      <c r="G285" s="58">
        <v>0.112</v>
      </c>
      <c r="H285" s="59" t="s">
        <v>195</v>
      </c>
      <c r="I285" s="43">
        <f t="shared" si="8"/>
        <v>145200</v>
      </c>
      <c r="J285" s="49">
        <f t="shared" si="9"/>
        <v>143200</v>
      </c>
      <c r="K285" s="60">
        <v>133800</v>
      </c>
      <c r="L285" s="3"/>
    </row>
    <row r="286" spans="1:12" ht="12" customHeight="1">
      <c r="B286" s="48">
        <v>281</v>
      </c>
      <c r="C286" s="56" t="s">
        <v>35</v>
      </c>
      <c r="D286" s="56" t="s">
        <v>4</v>
      </c>
      <c r="E286" s="56">
        <v>90</v>
      </c>
      <c r="F286" s="57">
        <v>2240</v>
      </c>
      <c r="G286" s="58">
        <v>0.111</v>
      </c>
      <c r="H286" s="59" t="s">
        <v>195</v>
      </c>
      <c r="I286" s="43">
        <f t="shared" si="8"/>
        <v>145200</v>
      </c>
      <c r="J286" s="49">
        <f t="shared" si="9"/>
        <v>143200</v>
      </c>
      <c r="K286" s="60">
        <v>133800</v>
      </c>
      <c r="L286" s="3"/>
    </row>
    <row r="287" spans="1:12" ht="12" customHeight="1">
      <c r="B287" s="48">
        <v>282</v>
      </c>
      <c r="C287" s="56" t="s">
        <v>35</v>
      </c>
      <c r="D287" s="56" t="s">
        <v>4</v>
      </c>
      <c r="E287" s="56">
        <v>90</v>
      </c>
      <c r="F287" s="57">
        <v>2295</v>
      </c>
      <c r="G287" s="58">
        <v>0.114</v>
      </c>
      <c r="H287" s="59" t="s">
        <v>195</v>
      </c>
      <c r="I287" s="43">
        <f t="shared" si="8"/>
        <v>145200</v>
      </c>
      <c r="J287" s="49">
        <f t="shared" si="9"/>
        <v>143200</v>
      </c>
      <c r="K287" s="60">
        <v>133800</v>
      </c>
      <c r="L287" s="3"/>
    </row>
    <row r="288" spans="1:12" ht="12" customHeight="1">
      <c r="B288" s="48">
        <v>283</v>
      </c>
      <c r="C288" s="56" t="s">
        <v>35</v>
      </c>
      <c r="D288" s="56" t="s">
        <v>4</v>
      </c>
      <c r="E288" s="56">
        <v>90</v>
      </c>
      <c r="F288" s="57">
        <v>2295</v>
      </c>
      <c r="G288" s="58">
        <v>0.114</v>
      </c>
      <c r="H288" s="59" t="s">
        <v>195</v>
      </c>
      <c r="I288" s="43">
        <f t="shared" si="8"/>
        <v>145200</v>
      </c>
      <c r="J288" s="49">
        <f t="shared" si="9"/>
        <v>143200</v>
      </c>
      <c r="K288" s="60">
        <v>133800</v>
      </c>
      <c r="L288" s="3"/>
    </row>
    <row r="289" spans="2:12" ht="12" customHeight="1">
      <c r="B289" s="48">
        <v>284</v>
      </c>
      <c r="C289" s="56" t="s">
        <v>35</v>
      </c>
      <c r="D289" s="56" t="s">
        <v>4</v>
      </c>
      <c r="E289" s="56">
        <v>90</v>
      </c>
      <c r="F289" s="57">
        <v>1580</v>
      </c>
      <c r="G289" s="58">
        <v>7.8E-2</v>
      </c>
      <c r="H289" s="59" t="s">
        <v>195</v>
      </c>
      <c r="I289" s="43">
        <f t="shared" si="8"/>
        <v>145200</v>
      </c>
      <c r="J289" s="49">
        <f t="shared" si="9"/>
        <v>143200</v>
      </c>
      <c r="K289" s="60">
        <v>133800</v>
      </c>
      <c r="L289" s="3"/>
    </row>
    <row r="290" spans="2:12" ht="12" customHeight="1">
      <c r="B290" s="48">
        <v>285</v>
      </c>
      <c r="C290" s="56" t="s">
        <v>35</v>
      </c>
      <c r="D290" s="56" t="s">
        <v>4</v>
      </c>
      <c r="E290" s="56">
        <v>90</v>
      </c>
      <c r="F290" s="57">
        <v>2365</v>
      </c>
      <c r="G290" s="58">
        <v>0.11799999999999999</v>
      </c>
      <c r="H290" s="59" t="s">
        <v>195</v>
      </c>
      <c r="I290" s="43">
        <f t="shared" si="8"/>
        <v>145200</v>
      </c>
      <c r="J290" s="49">
        <f t="shared" si="9"/>
        <v>143200</v>
      </c>
      <c r="K290" s="60">
        <v>133800</v>
      </c>
      <c r="L290" s="3"/>
    </row>
    <row r="291" spans="2:12" ht="12.75" customHeight="1">
      <c r="B291" s="48">
        <v>286</v>
      </c>
      <c r="C291" s="56" t="s">
        <v>35</v>
      </c>
      <c r="D291" s="56" t="s">
        <v>4</v>
      </c>
      <c r="E291" s="56">
        <v>90</v>
      </c>
      <c r="F291" s="57">
        <v>2310</v>
      </c>
      <c r="G291" s="58">
        <v>0.115</v>
      </c>
      <c r="H291" s="59" t="s">
        <v>195</v>
      </c>
      <c r="I291" s="43">
        <f t="shared" si="8"/>
        <v>145200</v>
      </c>
      <c r="J291" s="49">
        <f t="shared" si="9"/>
        <v>143200</v>
      </c>
      <c r="K291" s="60">
        <v>133800</v>
      </c>
      <c r="L291" s="3"/>
    </row>
    <row r="292" spans="2:12" ht="12" customHeight="1">
      <c r="B292" s="48">
        <v>287</v>
      </c>
      <c r="C292" s="56" t="s">
        <v>35</v>
      </c>
      <c r="D292" s="56" t="s">
        <v>4</v>
      </c>
      <c r="E292" s="56">
        <v>90</v>
      </c>
      <c r="F292" s="57">
        <v>2265</v>
      </c>
      <c r="G292" s="58">
        <v>0.113</v>
      </c>
      <c r="H292" s="59" t="s">
        <v>195</v>
      </c>
      <c r="I292" s="43">
        <f t="shared" si="8"/>
        <v>145200</v>
      </c>
      <c r="J292" s="49">
        <f t="shared" si="9"/>
        <v>143200</v>
      </c>
      <c r="K292" s="60">
        <v>133800</v>
      </c>
      <c r="L292" s="3"/>
    </row>
    <row r="293" spans="2:12" ht="12" customHeight="1">
      <c r="B293" s="48">
        <v>288</v>
      </c>
      <c r="C293" s="56" t="s">
        <v>35</v>
      </c>
      <c r="D293" s="56" t="s">
        <v>4</v>
      </c>
      <c r="E293" s="56">
        <v>90</v>
      </c>
      <c r="F293" s="57">
        <v>2370</v>
      </c>
      <c r="G293" s="58">
        <v>0.11799999999999999</v>
      </c>
      <c r="H293" s="59" t="s">
        <v>195</v>
      </c>
      <c r="I293" s="43">
        <f t="shared" si="8"/>
        <v>145200</v>
      </c>
      <c r="J293" s="49">
        <f t="shared" si="9"/>
        <v>143200</v>
      </c>
      <c r="K293" s="60">
        <v>133800</v>
      </c>
      <c r="L293" s="3"/>
    </row>
    <row r="294" spans="2:12" ht="12" customHeight="1">
      <c r="B294" s="48">
        <v>289</v>
      </c>
      <c r="C294" s="56" t="s">
        <v>35</v>
      </c>
      <c r="D294" s="56" t="s">
        <v>4</v>
      </c>
      <c r="E294" s="56">
        <v>90</v>
      </c>
      <c r="F294" s="57">
        <v>2370</v>
      </c>
      <c r="G294" s="58">
        <v>0.11799999999999999</v>
      </c>
      <c r="H294" s="59" t="s">
        <v>195</v>
      </c>
      <c r="I294" s="43">
        <f t="shared" si="8"/>
        <v>145200</v>
      </c>
      <c r="J294" s="49">
        <f t="shared" si="9"/>
        <v>143200</v>
      </c>
      <c r="K294" s="60">
        <v>133800</v>
      </c>
      <c r="L294" s="3"/>
    </row>
    <row r="295" spans="2:12" ht="12" customHeight="1">
      <c r="B295" s="48">
        <v>290</v>
      </c>
      <c r="C295" s="56" t="s">
        <v>35</v>
      </c>
      <c r="D295" s="56" t="s">
        <v>4</v>
      </c>
      <c r="E295" s="56">
        <v>90</v>
      </c>
      <c r="F295" s="57">
        <v>2335</v>
      </c>
      <c r="G295" s="58">
        <v>0.11600000000000001</v>
      </c>
      <c r="H295" s="59" t="s">
        <v>195</v>
      </c>
      <c r="I295" s="43">
        <f t="shared" si="8"/>
        <v>145200</v>
      </c>
      <c r="J295" s="49">
        <f t="shared" si="9"/>
        <v>143200</v>
      </c>
      <c r="K295" s="60">
        <v>133800</v>
      </c>
      <c r="L295" s="3"/>
    </row>
    <row r="296" spans="2:12" ht="12" customHeight="1">
      <c r="B296" s="48">
        <v>291</v>
      </c>
      <c r="C296" s="56" t="s">
        <v>35</v>
      </c>
      <c r="D296" s="56" t="s">
        <v>4</v>
      </c>
      <c r="E296" s="56">
        <v>150</v>
      </c>
      <c r="F296" s="57">
        <v>2300</v>
      </c>
      <c r="G296" s="58">
        <v>0.318</v>
      </c>
      <c r="H296" s="59" t="s">
        <v>195</v>
      </c>
      <c r="I296" s="43">
        <f t="shared" si="8"/>
        <v>145200</v>
      </c>
      <c r="J296" s="49">
        <f t="shared" si="9"/>
        <v>143200</v>
      </c>
      <c r="K296" s="60">
        <v>133800</v>
      </c>
      <c r="L296" s="3"/>
    </row>
    <row r="297" spans="2:12" ht="12" customHeight="1">
      <c r="B297" s="48">
        <v>292</v>
      </c>
      <c r="C297" s="56" t="s">
        <v>36</v>
      </c>
      <c r="D297" s="56" t="s">
        <v>4</v>
      </c>
      <c r="E297" s="56">
        <v>125</v>
      </c>
      <c r="F297" s="57">
        <v>2735</v>
      </c>
      <c r="G297" s="58">
        <v>0.52200000000000002</v>
      </c>
      <c r="H297" s="59" t="s">
        <v>195</v>
      </c>
      <c r="I297" s="43">
        <f t="shared" si="8"/>
        <v>145200</v>
      </c>
      <c r="J297" s="49">
        <f t="shared" si="9"/>
        <v>143200</v>
      </c>
      <c r="K297" s="60">
        <v>133800</v>
      </c>
      <c r="L297" s="3"/>
    </row>
    <row r="298" spans="2:12" ht="12" customHeight="1">
      <c r="B298" s="48">
        <v>293</v>
      </c>
      <c r="C298" s="56" t="s">
        <v>36</v>
      </c>
      <c r="D298" s="56" t="s">
        <v>4</v>
      </c>
      <c r="E298" s="56">
        <v>125</v>
      </c>
      <c r="F298" s="57">
        <v>2645</v>
      </c>
      <c r="G298" s="58">
        <f>0.515-0.24</f>
        <v>0.27500000000000002</v>
      </c>
      <c r="H298" s="59" t="s">
        <v>195</v>
      </c>
      <c r="I298" s="43">
        <f t="shared" si="8"/>
        <v>145200</v>
      </c>
      <c r="J298" s="49">
        <f t="shared" si="9"/>
        <v>143200</v>
      </c>
      <c r="K298" s="60">
        <v>133800</v>
      </c>
      <c r="L298" s="3"/>
    </row>
    <row r="299" spans="2:12" ht="12" customHeight="1">
      <c r="B299" s="48">
        <v>294</v>
      </c>
      <c r="C299" s="56" t="s">
        <v>37</v>
      </c>
      <c r="D299" s="56" t="s">
        <v>4</v>
      </c>
      <c r="E299" s="56">
        <v>41</v>
      </c>
      <c r="F299" s="57">
        <v>2160</v>
      </c>
      <c r="G299" s="58">
        <v>5.0999999999999997E-2</v>
      </c>
      <c r="H299" s="59" t="s">
        <v>195</v>
      </c>
      <c r="I299" s="43">
        <f t="shared" si="8"/>
        <v>145200</v>
      </c>
      <c r="J299" s="49">
        <f t="shared" si="9"/>
        <v>143200</v>
      </c>
      <c r="K299" s="60">
        <v>133800</v>
      </c>
      <c r="L299" s="3"/>
    </row>
    <row r="300" spans="2:12" ht="12" customHeight="1">
      <c r="B300" s="48">
        <v>295</v>
      </c>
      <c r="C300" s="56" t="s">
        <v>37</v>
      </c>
      <c r="D300" s="56" t="s">
        <v>4</v>
      </c>
      <c r="E300" s="56">
        <v>42</v>
      </c>
      <c r="F300" s="57">
        <v>3300</v>
      </c>
      <c r="G300" s="58">
        <v>3.4000000000000002E-2</v>
      </c>
      <c r="H300" s="59" t="s">
        <v>195</v>
      </c>
      <c r="I300" s="43">
        <f t="shared" si="8"/>
        <v>145200</v>
      </c>
      <c r="J300" s="49">
        <f t="shared" si="9"/>
        <v>143200</v>
      </c>
      <c r="K300" s="60">
        <v>133800</v>
      </c>
      <c r="L300" s="3"/>
    </row>
    <row r="301" spans="2:12" ht="12" customHeight="1">
      <c r="B301" s="48">
        <v>296</v>
      </c>
      <c r="C301" s="56" t="s">
        <v>37</v>
      </c>
      <c r="D301" s="56" t="s">
        <v>4</v>
      </c>
      <c r="E301" s="56">
        <v>42</v>
      </c>
      <c r="F301" s="57">
        <v>1900</v>
      </c>
      <c r="G301" s="58">
        <v>0.02</v>
      </c>
      <c r="H301" s="59" t="s">
        <v>195</v>
      </c>
      <c r="I301" s="43">
        <f t="shared" si="8"/>
        <v>145200</v>
      </c>
      <c r="J301" s="49">
        <f t="shared" si="9"/>
        <v>143200</v>
      </c>
      <c r="K301" s="60">
        <v>133800</v>
      </c>
      <c r="L301" s="3"/>
    </row>
    <row r="302" spans="2:12" ht="12" customHeight="1">
      <c r="B302" s="48">
        <v>297</v>
      </c>
      <c r="C302" s="56" t="s">
        <v>37</v>
      </c>
      <c r="D302" s="56" t="s">
        <v>4</v>
      </c>
      <c r="E302" s="56">
        <v>60</v>
      </c>
      <c r="F302" s="57">
        <v>1525</v>
      </c>
      <c r="G302" s="58">
        <v>3.4000000000000002E-2</v>
      </c>
      <c r="H302" s="59" t="s">
        <v>195</v>
      </c>
      <c r="I302" s="43">
        <f t="shared" si="8"/>
        <v>145200</v>
      </c>
      <c r="J302" s="49">
        <f t="shared" si="9"/>
        <v>143200</v>
      </c>
      <c r="K302" s="60">
        <v>133800</v>
      </c>
      <c r="L302" s="3"/>
    </row>
    <row r="303" spans="2:12" ht="12" customHeight="1">
      <c r="B303" s="48">
        <v>298</v>
      </c>
      <c r="C303" s="56" t="s">
        <v>37</v>
      </c>
      <c r="D303" s="56" t="s">
        <v>4</v>
      </c>
      <c r="E303" s="56">
        <v>60</v>
      </c>
      <c r="F303" s="57">
        <v>2690</v>
      </c>
      <c r="G303" s="58">
        <v>5.8999999999999997E-2</v>
      </c>
      <c r="H303" s="59" t="s">
        <v>195</v>
      </c>
      <c r="I303" s="43">
        <f t="shared" si="8"/>
        <v>145200</v>
      </c>
      <c r="J303" s="49">
        <f t="shared" si="9"/>
        <v>143200</v>
      </c>
      <c r="K303" s="60">
        <v>133800</v>
      </c>
      <c r="L303" s="3"/>
    </row>
    <row r="304" spans="2:12" ht="12" customHeight="1">
      <c r="B304" s="48">
        <v>299</v>
      </c>
      <c r="C304" s="56" t="s">
        <v>37</v>
      </c>
      <c r="D304" s="56" t="s">
        <v>4</v>
      </c>
      <c r="E304" s="56">
        <v>60</v>
      </c>
      <c r="F304" s="57">
        <v>2605</v>
      </c>
      <c r="G304" s="58">
        <f>2.505-0.41-0.47-0.255-1.195</f>
        <v>0.1749999999999996</v>
      </c>
      <c r="H304" s="59" t="s">
        <v>195</v>
      </c>
      <c r="I304" s="43">
        <f t="shared" si="8"/>
        <v>145200</v>
      </c>
      <c r="J304" s="49">
        <f t="shared" si="9"/>
        <v>143200</v>
      </c>
      <c r="K304" s="60">
        <v>133800</v>
      </c>
      <c r="L304" s="3"/>
    </row>
    <row r="305" spans="2:12" ht="12" customHeight="1">
      <c r="B305" s="48">
        <v>300</v>
      </c>
      <c r="C305" s="56" t="s">
        <v>37</v>
      </c>
      <c r="D305" s="56" t="s">
        <v>4</v>
      </c>
      <c r="E305" s="56">
        <v>60</v>
      </c>
      <c r="F305" s="57">
        <v>3030</v>
      </c>
      <c r="G305" s="58">
        <v>6.7000000000000004E-2</v>
      </c>
      <c r="H305" s="59" t="s">
        <v>195</v>
      </c>
      <c r="I305" s="43">
        <f t="shared" si="8"/>
        <v>145200</v>
      </c>
      <c r="J305" s="49">
        <f t="shared" si="9"/>
        <v>143200</v>
      </c>
      <c r="K305" s="60">
        <v>133800</v>
      </c>
      <c r="L305" s="3"/>
    </row>
    <row r="306" spans="2:12" ht="12" customHeight="1">
      <c r="B306" s="48">
        <v>301</v>
      </c>
      <c r="C306" s="56" t="s">
        <v>37</v>
      </c>
      <c r="D306" s="56" t="s">
        <v>4</v>
      </c>
      <c r="E306" s="56">
        <v>60</v>
      </c>
      <c r="F306" s="57">
        <v>3280</v>
      </c>
      <c r="G306" s="58">
        <v>7.1999999999999995E-2</v>
      </c>
      <c r="H306" s="59" t="s">
        <v>195</v>
      </c>
      <c r="I306" s="43">
        <f t="shared" si="8"/>
        <v>145200</v>
      </c>
      <c r="J306" s="49">
        <f t="shared" si="9"/>
        <v>143200</v>
      </c>
      <c r="K306" s="60">
        <v>133800</v>
      </c>
      <c r="L306" s="3"/>
    </row>
    <row r="307" spans="2:12" ht="12" customHeight="1">
      <c r="B307" s="48">
        <v>302</v>
      </c>
      <c r="C307" s="56" t="s">
        <v>37</v>
      </c>
      <c r="D307" s="56" t="s">
        <v>4</v>
      </c>
      <c r="E307" s="56">
        <v>65</v>
      </c>
      <c r="F307" s="57">
        <v>2730</v>
      </c>
      <c r="G307" s="58">
        <v>7.0999999999999994E-2</v>
      </c>
      <c r="H307" s="59" t="s">
        <v>195</v>
      </c>
      <c r="I307" s="43">
        <f t="shared" si="8"/>
        <v>145200</v>
      </c>
      <c r="J307" s="49">
        <f t="shared" si="9"/>
        <v>143200</v>
      </c>
      <c r="K307" s="60">
        <v>133800</v>
      </c>
      <c r="L307" s="3"/>
    </row>
    <row r="308" spans="2:12" ht="12" customHeight="1">
      <c r="B308" s="48">
        <v>303</v>
      </c>
      <c r="C308" s="56" t="s">
        <v>37</v>
      </c>
      <c r="D308" s="56" t="s">
        <v>4</v>
      </c>
      <c r="E308" s="56">
        <v>65</v>
      </c>
      <c r="F308" s="57">
        <v>2730</v>
      </c>
      <c r="G308" s="58">
        <v>7.0999999999999994E-2</v>
      </c>
      <c r="H308" s="59" t="s">
        <v>195</v>
      </c>
      <c r="I308" s="43">
        <f t="shared" si="8"/>
        <v>145200</v>
      </c>
      <c r="J308" s="49">
        <f t="shared" si="9"/>
        <v>143200</v>
      </c>
      <c r="K308" s="60">
        <v>133800</v>
      </c>
      <c r="L308" s="3"/>
    </row>
    <row r="309" spans="2:12" ht="12" customHeight="1">
      <c r="B309" s="48">
        <v>304</v>
      </c>
      <c r="C309" s="56" t="s">
        <v>37</v>
      </c>
      <c r="D309" s="56" t="s">
        <v>4</v>
      </c>
      <c r="E309" s="56">
        <v>70</v>
      </c>
      <c r="F309" s="57">
        <v>1935</v>
      </c>
      <c r="G309" s="58">
        <v>5.8000000000000003E-2</v>
      </c>
      <c r="H309" s="59" t="s">
        <v>195</v>
      </c>
      <c r="I309" s="43">
        <f t="shared" si="8"/>
        <v>145200</v>
      </c>
      <c r="J309" s="49">
        <f t="shared" si="9"/>
        <v>143200</v>
      </c>
      <c r="K309" s="60">
        <v>133800</v>
      </c>
      <c r="L309" s="5"/>
    </row>
    <row r="310" spans="2:12" ht="12" customHeight="1">
      <c r="B310" s="48">
        <v>305</v>
      </c>
      <c r="C310" s="56" t="s">
        <v>37</v>
      </c>
      <c r="D310" s="56" t="s">
        <v>4</v>
      </c>
      <c r="E310" s="56">
        <v>70</v>
      </c>
      <c r="F310" s="57">
        <v>1855</v>
      </c>
      <c r="G310" s="58">
        <v>5.6000000000000001E-2</v>
      </c>
      <c r="H310" s="59" t="s">
        <v>195</v>
      </c>
      <c r="I310" s="43">
        <f t="shared" si="8"/>
        <v>145200</v>
      </c>
      <c r="J310" s="49">
        <f t="shared" si="9"/>
        <v>143200</v>
      </c>
      <c r="K310" s="60">
        <v>133800</v>
      </c>
      <c r="L310" s="5"/>
    </row>
    <row r="311" spans="2:12" ht="12" customHeight="1">
      <c r="B311" s="48">
        <v>306</v>
      </c>
      <c r="C311" s="56" t="s">
        <v>37</v>
      </c>
      <c r="D311" s="56" t="s">
        <v>4</v>
      </c>
      <c r="E311" s="56">
        <v>70</v>
      </c>
      <c r="F311" s="57">
        <v>1930</v>
      </c>
      <c r="G311" s="58">
        <v>5.8000000000000003E-2</v>
      </c>
      <c r="H311" s="59" t="s">
        <v>195</v>
      </c>
      <c r="I311" s="43">
        <f t="shared" si="8"/>
        <v>145200</v>
      </c>
      <c r="J311" s="49">
        <f t="shared" si="9"/>
        <v>143200</v>
      </c>
      <c r="K311" s="60">
        <v>133800</v>
      </c>
      <c r="L311" s="3"/>
    </row>
    <row r="312" spans="2:12" ht="12" customHeight="1">
      <c r="B312" s="48">
        <v>307</v>
      </c>
      <c r="C312" s="56" t="s">
        <v>37</v>
      </c>
      <c r="D312" s="56" t="s">
        <v>4</v>
      </c>
      <c r="E312" s="56">
        <v>70</v>
      </c>
      <c r="F312" s="57">
        <v>2855</v>
      </c>
      <c r="G312" s="58">
        <v>0.44700000000000001</v>
      </c>
      <c r="H312" s="59" t="s">
        <v>195</v>
      </c>
      <c r="I312" s="43">
        <f t="shared" si="8"/>
        <v>145200</v>
      </c>
      <c r="J312" s="49">
        <f t="shared" si="9"/>
        <v>143200</v>
      </c>
      <c r="K312" s="60">
        <v>133800</v>
      </c>
      <c r="L312" s="3"/>
    </row>
    <row r="313" spans="2:12" ht="12" customHeight="1">
      <c r="B313" s="48">
        <v>308</v>
      </c>
      <c r="C313" s="56" t="s">
        <v>37</v>
      </c>
      <c r="D313" s="56" t="s">
        <v>4</v>
      </c>
      <c r="E313" s="56">
        <v>70</v>
      </c>
      <c r="F313" s="57">
        <v>3185</v>
      </c>
      <c r="G313" s="58">
        <v>0.1</v>
      </c>
      <c r="H313" s="59" t="s">
        <v>195</v>
      </c>
      <c r="I313" s="43">
        <f t="shared" si="8"/>
        <v>145200</v>
      </c>
      <c r="J313" s="49">
        <f t="shared" si="9"/>
        <v>143200</v>
      </c>
      <c r="K313" s="60">
        <v>133800</v>
      </c>
      <c r="L313" s="3"/>
    </row>
    <row r="314" spans="2:12" ht="12" customHeight="1">
      <c r="B314" s="48">
        <v>309</v>
      </c>
      <c r="C314" s="56" t="s">
        <v>37</v>
      </c>
      <c r="D314" s="56" t="s">
        <v>4</v>
      </c>
      <c r="E314" s="56">
        <v>75</v>
      </c>
      <c r="F314" s="57">
        <v>3120</v>
      </c>
      <c r="G314" s="58">
        <v>0.108</v>
      </c>
      <c r="H314" s="59" t="s">
        <v>195</v>
      </c>
      <c r="I314" s="43">
        <f t="shared" si="8"/>
        <v>145200</v>
      </c>
      <c r="J314" s="49">
        <f t="shared" si="9"/>
        <v>143200</v>
      </c>
      <c r="K314" s="60">
        <v>133800</v>
      </c>
      <c r="L314" s="3"/>
    </row>
    <row r="315" spans="2:12" ht="12" customHeight="1">
      <c r="B315" s="48">
        <v>310</v>
      </c>
      <c r="C315" s="56" t="s">
        <v>37</v>
      </c>
      <c r="D315" s="56" t="s">
        <v>4</v>
      </c>
      <c r="E315" s="56">
        <v>75</v>
      </c>
      <c r="F315" s="57">
        <v>3090</v>
      </c>
      <c r="G315" s="58">
        <v>0.107</v>
      </c>
      <c r="H315" s="59" t="s">
        <v>195</v>
      </c>
      <c r="I315" s="43">
        <f t="shared" si="8"/>
        <v>145200</v>
      </c>
      <c r="J315" s="49">
        <f t="shared" si="9"/>
        <v>143200</v>
      </c>
      <c r="K315" s="60">
        <v>133800</v>
      </c>
      <c r="L315" s="3"/>
    </row>
    <row r="316" spans="2:12" ht="12" customHeight="1">
      <c r="B316" s="48">
        <v>311</v>
      </c>
      <c r="C316" s="56" t="s">
        <v>37</v>
      </c>
      <c r="D316" s="56" t="s">
        <v>4</v>
      </c>
      <c r="E316" s="56">
        <v>75</v>
      </c>
      <c r="F316" s="57">
        <v>3430</v>
      </c>
      <c r="G316" s="58">
        <v>0.11899999999999999</v>
      </c>
      <c r="H316" s="59" t="s">
        <v>195</v>
      </c>
      <c r="I316" s="43">
        <f t="shared" si="8"/>
        <v>145200</v>
      </c>
      <c r="J316" s="49">
        <f t="shared" si="9"/>
        <v>143200</v>
      </c>
      <c r="K316" s="60">
        <v>133800</v>
      </c>
      <c r="L316" s="3"/>
    </row>
    <row r="317" spans="2:12" ht="12" customHeight="1">
      <c r="B317" s="48">
        <v>312</v>
      </c>
      <c r="C317" s="56" t="s">
        <v>37</v>
      </c>
      <c r="D317" s="56" t="s">
        <v>4</v>
      </c>
      <c r="E317" s="56">
        <v>90</v>
      </c>
      <c r="F317" s="57">
        <v>1325</v>
      </c>
      <c r="G317" s="58">
        <v>6.5000000000000002E-2</v>
      </c>
      <c r="H317" s="59" t="s">
        <v>195</v>
      </c>
      <c r="I317" s="43">
        <f t="shared" si="8"/>
        <v>145200</v>
      </c>
      <c r="J317" s="49">
        <f t="shared" si="9"/>
        <v>143200</v>
      </c>
      <c r="K317" s="60">
        <v>133800</v>
      </c>
      <c r="L317" s="3"/>
    </row>
    <row r="318" spans="2:12" ht="12" customHeight="1">
      <c r="B318" s="48">
        <v>313</v>
      </c>
      <c r="C318" s="56" t="s">
        <v>37</v>
      </c>
      <c r="D318" s="56" t="s">
        <v>4</v>
      </c>
      <c r="E318" s="56">
        <v>100</v>
      </c>
      <c r="F318" s="57">
        <v>925</v>
      </c>
      <c r="G318" s="58">
        <v>5.6000000000000001E-2</v>
      </c>
      <c r="H318" s="59" t="s">
        <v>195</v>
      </c>
      <c r="I318" s="43">
        <f t="shared" si="8"/>
        <v>145200</v>
      </c>
      <c r="J318" s="49">
        <f t="shared" si="9"/>
        <v>143200</v>
      </c>
      <c r="K318" s="60">
        <v>133800</v>
      </c>
      <c r="L318" s="3"/>
    </row>
    <row r="319" spans="2:12" ht="12" customHeight="1">
      <c r="B319" s="48">
        <v>314</v>
      </c>
      <c r="C319" s="56" t="s">
        <v>37</v>
      </c>
      <c r="D319" s="56" t="s">
        <v>4</v>
      </c>
      <c r="E319" s="56">
        <v>100</v>
      </c>
      <c r="F319" s="57">
        <v>3340</v>
      </c>
      <c r="G319" s="58">
        <v>0.20300000000000001</v>
      </c>
      <c r="H319" s="59" t="s">
        <v>195</v>
      </c>
      <c r="I319" s="43">
        <f t="shared" si="8"/>
        <v>145200</v>
      </c>
      <c r="J319" s="49">
        <f t="shared" si="9"/>
        <v>143200</v>
      </c>
      <c r="K319" s="60">
        <v>133800</v>
      </c>
      <c r="L319" s="3"/>
    </row>
    <row r="320" spans="2:12" ht="12" customHeight="1">
      <c r="B320" s="48">
        <v>315</v>
      </c>
      <c r="C320" s="56" t="s">
        <v>37</v>
      </c>
      <c r="D320" s="56" t="s">
        <v>4</v>
      </c>
      <c r="E320" s="56">
        <v>110</v>
      </c>
      <c r="F320" s="57">
        <v>1915</v>
      </c>
      <c r="G320" s="58">
        <v>0.14199999999999999</v>
      </c>
      <c r="H320" s="59" t="s">
        <v>195</v>
      </c>
      <c r="I320" s="43">
        <f t="shared" si="8"/>
        <v>145200</v>
      </c>
      <c r="J320" s="49">
        <f t="shared" si="9"/>
        <v>143200</v>
      </c>
      <c r="K320" s="60">
        <v>133800</v>
      </c>
      <c r="L320" s="3"/>
    </row>
    <row r="321" spans="2:12" ht="12" customHeight="1">
      <c r="B321" s="48">
        <v>316</v>
      </c>
      <c r="C321" s="56" t="s">
        <v>37</v>
      </c>
      <c r="D321" s="56" t="s">
        <v>4</v>
      </c>
      <c r="E321" s="56">
        <v>130</v>
      </c>
      <c r="F321" s="57">
        <v>3020</v>
      </c>
      <c r="G321" s="58">
        <v>0.31</v>
      </c>
      <c r="H321" s="59" t="s">
        <v>195</v>
      </c>
      <c r="I321" s="43">
        <f t="shared" si="8"/>
        <v>145200</v>
      </c>
      <c r="J321" s="49">
        <f t="shared" si="9"/>
        <v>143200</v>
      </c>
      <c r="K321" s="60">
        <v>133800</v>
      </c>
      <c r="L321" s="3"/>
    </row>
    <row r="322" spans="2:12" ht="12" customHeight="1">
      <c r="B322" s="48">
        <v>317</v>
      </c>
      <c r="C322" s="56" t="s">
        <v>38</v>
      </c>
      <c r="D322" s="56" t="s">
        <v>4</v>
      </c>
      <c r="E322" s="56">
        <v>140</v>
      </c>
      <c r="F322" s="57">
        <v>2255</v>
      </c>
      <c r="G322" s="58">
        <v>0.27200000000000002</v>
      </c>
      <c r="H322" s="59" t="s">
        <v>195</v>
      </c>
      <c r="I322" s="43">
        <f t="shared" si="8"/>
        <v>145200</v>
      </c>
      <c r="J322" s="49">
        <f t="shared" si="9"/>
        <v>143200</v>
      </c>
      <c r="K322" s="60">
        <v>133800</v>
      </c>
      <c r="L322" s="3"/>
    </row>
    <row r="323" spans="2:12" ht="12" customHeight="1">
      <c r="B323" s="48">
        <v>318</v>
      </c>
      <c r="C323" s="56" t="s">
        <v>281</v>
      </c>
      <c r="D323" s="56" t="s">
        <v>4</v>
      </c>
      <c r="E323" s="56">
        <v>105</v>
      </c>
      <c r="F323" s="57">
        <v>1400</v>
      </c>
      <c r="G323" s="58">
        <f>0.094+0.113</f>
        <v>0.20700000000000002</v>
      </c>
      <c r="H323" s="59" t="s">
        <v>195</v>
      </c>
      <c r="I323" s="43">
        <f t="shared" si="8"/>
        <v>379900</v>
      </c>
      <c r="J323" s="49">
        <f t="shared" si="9"/>
        <v>377900</v>
      </c>
      <c r="K323" s="60">
        <v>353100</v>
      </c>
      <c r="L323" s="3"/>
    </row>
    <row r="324" spans="2:12" s="5" customFormat="1" ht="12" customHeight="1">
      <c r="B324" s="48">
        <v>319</v>
      </c>
      <c r="C324" s="56" t="s">
        <v>265</v>
      </c>
      <c r="D324" s="56" t="s">
        <v>4</v>
      </c>
      <c r="E324" s="56">
        <v>154</v>
      </c>
      <c r="F324" s="57">
        <v>850</v>
      </c>
      <c r="G324" s="58">
        <f>0.123+0.172+0.407+0.422</f>
        <v>1.1239999999999999</v>
      </c>
      <c r="H324" s="59" t="s">
        <v>195</v>
      </c>
      <c r="I324" s="43">
        <f t="shared" si="8"/>
        <v>442900</v>
      </c>
      <c r="J324" s="49">
        <f t="shared" si="9"/>
        <v>440900</v>
      </c>
      <c r="K324" s="60">
        <v>412000</v>
      </c>
      <c r="L324" s="3"/>
    </row>
    <row r="325" spans="2:12" s="5" customFormat="1" ht="12" customHeight="1">
      <c r="B325" s="48">
        <v>320</v>
      </c>
      <c r="C325" s="56" t="s">
        <v>39</v>
      </c>
      <c r="D325" s="56" t="s">
        <v>4</v>
      </c>
      <c r="E325" s="56">
        <v>22</v>
      </c>
      <c r="F325" s="57">
        <v>5400</v>
      </c>
      <c r="G325" s="58">
        <f>2.085-0.033</f>
        <v>2.052</v>
      </c>
      <c r="H325" s="59" t="s">
        <v>195</v>
      </c>
      <c r="I325" s="43">
        <f t="shared" si="8"/>
        <v>65100</v>
      </c>
      <c r="J325" s="49">
        <f t="shared" si="9"/>
        <v>63100</v>
      </c>
      <c r="K325" s="60">
        <v>58900</v>
      </c>
      <c r="L325" s="3"/>
    </row>
    <row r="326" spans="2:12" ht="12" customHeight="1">
      <c r="B326" s="48">
        <v>321</v>
      </c>
      <c r="C326" s="56" t="s">
        <v>274</v>
      </c>
      <c r="D326" s="56" t="s">
        <v>4</v>
      </c>
      <c r="E326" s="56">
        <v>26</v>
      </c>
      <c r="F326" s="57">
        <v>3700</v>
      </c>
      <c r="G326" s="58">
        <v>1.4999999999999999E-2</v>
      </c>
      <c r="H326" s="59" t="s">
        <v>195</v>
      </c>
      <c r="I326" s="43">
        <f t="shared" ref="I326:I389" si="10">J326+2000</f>
        <v>76500</v>
      </c>
      <c r="J326" s="49">
        <f t="shared" si="9"/>
        <v>74500</v>
      </c>
      <c r="K326" s="60">
        <v>69600</v>
      </c>
      <c r="L326" s="3"/>
    </row>
    <row r="327" spans="2:12" s="5" customFormat="1" ht="12" customHeight="1">
      <c r="B327" s="48">
        <v>322</v>
      </c>
      <c r="C327" s="56" t="s">
        <v>274</v>
      </c>
      <c r="D327" s="56" t="s">
        <v>4</v>
      </c>
      <c r="E327" s="56">
        <v>40</v>
      </c>
      <c r="F327" s="57">
        <v>3060</v>
      </c>
      <c r="G327" s="58">
        <f>0.03+0.034</f>
        <v>6.4000000000000001E-2</v>
      </c>
      <c r="H327" s="59" t="s">
        <v>195</v>
      </c>
      <c r="I327" s="43">
        <f t="shared" si="10"/>
        <v>76500</v>
      </c>
      <c r="J327" s="49">
        <f t="shared" ref="J327:J390" si="11">ROUNDUP(K327*1.07,-2)</f>
        <v>74500</v>
      </c>
      <c r="K327" s="60">
        <v>69600</v>
      </c>
      <c r="L327" s="3"/>
    </row>
    <row r="328" spans="2:12" ht="12" customHeight="1">
      <c r="B328" s="48">
        <v>323</v>
      </c>
      <c r="C328" s="56" t="s">
        <v>274</v>
      </c>
      <c r="D328" s="56" t="s">
        <v>4</v>
      </c>
      <c r="E328" s="56">
        <v>40</v>
      </c>
      <c r="F328" s="57">
        <v>3660</v>
      </c>
      <c r="G328" s="58">
        <v>3.5999999999999997E-2</v>
      </c>
      <c r="H328" s="59" t="s">
        <v>195</v>
      </c>
      <c r="I328" s="43">
        <f t="shared" si="10"/>
        <v>76500</v>
      </c>
      <c r="J328" s="49">
        <f t="shared" si="11"/>
        <v>74500</v>
      </c>
      <c r="K328" s="60">
        <v>69600</v>
      </c>
      <c r="L328" s="3"/>
    </row>
    <row r="329" spans="2:12" s="5" customFormat="1" ht="12" customHeight="1">
      <c r="B329" s="48">
        <v>324</v>
      </c>
      <c r="C329" s="56" t="s">
        <v>40</v>
      </c>
      <c r="D329" s="56" t="s">
        <v>4</v>
      </c>
      <c r="E329" s="56">
        <v>90</v>
      </c>
      <c r="F329" s="57">
        <v>4500</v>
      </c>
      <c r="G329" s="58">
        <v>0.24</v>
      </c>
      <c r="H329" s="59" t="s">
        <v>195</v>
      </c>
      <c r="I329" s="43">
        <f t="shared" si="10"/>
        <v>76500</v>
      </c>
      <c r="J329" s="49">
        <f t="shared" si="11"/>
        <v>74500</v>
      </c>
      <c r="K329" s="60">
        <v>69600</v>
      </c>
      <c r="L329" s="3"/>
    </row>
    <row r="330" spans="2:12" s="5" customFormat="1" ht="12" customHeight="1">
      <c r="B330" s="48">
        <v>325</v>
      </c>
      <c r="C330" s="56" t="s">
        <v>40</v>
      </c>
      <c r="D330" s="56" t="s">
        <v>4</v>
      </c>
      <c r="E330" s="56">
        <v>110</v>
      </c>
      <c r="F330" s="57">
        <v>2880</v>
      </c>
      <c r="G330" s="58">
        <v>0.44400000000000001</v>
      </c>
      <c r="H330" s="59" t="s">
        <v>195</v>
      </c>
      <c r="I330" s="43">
        <f t="shared" si="10"/>
        <v>76500</v>
      </c>
      <c r="J330" s="49">
        <f t="shared" si="11"/>
        <v>74500</v>
      </c>
      <c r="K330" s="60">
        <v>69600</v>
      </c>
    </row>
    <row r="331" spans="2:12" s="5" customFormat="1" ht="12" customHeight="1">
      <c r="B331" s="48">
        <v>326</v>
      </c>
      <c r="C331" s="56" t="s">
        <v>40</v>
      </c>
      <c r="D331" s="56" t="s">
        <v>4</v>
      </c>
      <c r="E331" s="56">
        <v>125</v>
      </c>
      <c r="F331" s="57">
        <v>1920</v>
      </c>
      <c r="G331" s="58">
        <v>0.39800000000000002</v>
      </c>
      <c r="H331" s="59" t="s">
        <v>195</v>
      </c>
      <c r="I331" s="43">
        <f t="shared" si="10"/>
        <v>76500</v>
      </c>
      <c r="J331" s="49">
        <f t="shared" si="11"/>
        <v>74500</v>
      </c>
      <c r="K331" s="60">
        <v>69600</v>
      </c>
      <c r="L331" s="3"/>
    </row>
    <row r="332" spans="2:12" s="5" customFormat="1" ht="12" customHeight="1">
      <c r="B332" s="48">
        <v>327</v>
      </c>
      <c r="C332" s="56" t="s">
        <v>40</v>
      </c>
      <c r="D332" s="56" t="s">
        <v>4</v>
      </c>
      <c r="E332" s="56">
        <v>130</v>
      </c>
      <c r="F332" s="57">
        <v>1920</v>
      </c>
      <c r="G332" s="58">
        <v>0.20599999999999999</v>
      </c>
      <c r="H332" s="59" t="s">
        <v>195</v>
      </c>
      <c r="I332" s="43">
        <f t="shared" si="10"/>
        <v>76500</v>
      </c>
      <c r="J332" s="49">
        <f t="shared" si="11"/>
        <v>74500</v>
      </c>
      <c r="K332" s="60">
        <v>69600</v>
      </c>
    </row>
    <row r="333" spans="2:12" s="5" customFormat="1" ht="12" customHeight="1">
      <c r="B333" s="48">
        <v>328</v>
      </c>
      <c r="C333" s="56" t="s">
        <v>41</v>
      </c>
      <c r="D333" s="56" t="s">
        <v>4</v>
      </c>
      <c r="E333" s="56">
        <v>10.5</v>
      </c>
      <c r="F333" s="57">
        <v>2520</v>
      </c>
      <c r="G333" s="58">
        <v>3.0000000000000001E-3</v>
      </c>
      <c r="H333" s="59" t="s">
        <v>195</v>
      </c>
      <c r="I333" s="43">
        <f t="shared" si="10"/>
        <v>288300</v>
      </c>
      <c r="J333" s="49">
        <f t="shared" si="11"/>
        <v>286300</v>
      </c>
      <c r="K333" s="60">
        <v>267500</v>
      </c>
      <c r="L333" s="3"/>
    </row>
    <row r="334" spans="2:12" s="5" customFormat="1" ht="12" customHeight="1">
      <c r="B334" s="48">
        <v>329</v>
      </c>
      <c r="C334" s="56" t="s">
        <v>41</v>
      </c>
      <c r="D334" s="56" t="s">
        <v>4</v>
      </c>
      <c r="E334" s="56">
        <v>30</v>
      </c>
      <c r="F334" s="57">
        <v>2780</v>
      </c>
      <c r="G334" s="58">
        <v>1.4999999999999999E-2</v>
      </c>
      <c r="H334" s="59" t="s">
        <v>195</v>
      </c>
      <c r="I334" s="43">
        <f t="shared" si="10"/>
        <v>288300</v>
      </c>
      <c r="J334" s="49">
        <f t="shared" si="11"/>
        <v>286300</v>
      </c>
      <c r="K334" s="60">
        <v>267500</v>
      </c>
      <c r="L334" s="3"/>
    </row>
    <row r="335" spans="2:12" s="5" customFormat="1" ht="12" customHeight="1">
      <c r="B335" s="48">
        <v>330</v>
      </c>
      <c r="C335" s="56" t="s">
        <v>288</v>
      </c>
      <c r="D335" s="74" t="s">
        <v>4</v>
      </c>
      <c r="E335" s="74">
        <v>110</v>
      </c>
      <c r="F335" s="77">
        <v>2560</v>
      </c>
      <c r="G335" s="75">
        <v>0.19</v>
      </c>
      <c r="H335" s="78" t="s">
        <v>280</v>
      </c>
      <c r="I335" s="43">
        <f t="shared" si="10"/>
        <v>139400</v>
      </c>
      <c r="J335" s="49">
        <f t="shared" si="11"/>
        <v>137400</v>
      </c>
      <c r="K335" s="71">
        <v>128400</v>
      </c>
      <c r="L335" s="3"/>
    </row>
    <row r="336" spans="2:12" s="5" customFormat="1" ht="12" customHeight="1">
      <c r="B336" s="48">
        <v>331</v>
      </c>
      <c r="C336" s="56" t="s">
        <v>237</v>
      </c>
      <c r="D336" s="56" t="s">
        <v>4</v>
      </c>
      <c r="E336" s="56">
        <v>180</v>
      </c>
      <c r="F336" s="57">
        <v>1270</v>
      </c>
      <c r="G336" s="58">
        <v>0.26500000000000001</v>
      </c>
      <c r="H336" s="59" t="s">
        <v>195</v>
      </c>
      <c r="I336" s="43">
        <f t="shared" si="10"/>
        <v>379900</v>
      </c>
      <c r="J336" s="49">
        <f t="shared" si="11"/>
        <v>377900</v>
      </c>
      <c r="K336" s="60">
        <v>353100</v>
      </c>
      <c r="L336" s="3"/>
    </row>
    <row r="337" spans="2:12" s="5" customFormat="1" ht="12" customHeight="1">
      <c r="B337" s="48">
        <v>332</v>
      </c>
      <c r="C337" s="56" t="s">
        <v>237</v>
      </c>
      <c r="D337" s="56" t="s">
        <v>4</v>
      </c>
      <c r="E337" s="56">
        <v>180</v>
      </c>
      <c r="F337" s="57">
        <v>1780</v>
      </c>
      <c r="G337" s="58">
        <v>0.37</v>
      </c>
      <c r="H337" s="59" t="s">
        <v>195</v>
      </c>
      <c r="I337" s="43">
        <f t="shared" si="10"/>
        <v>379900</v>
      </c>
      <c r="J337" s="49">
        <f t="shared" si="11"/>
        <v>377900</v>
      </c>
      <c r="K337" s="60">
        <v>353100</v>
      </c>
      <c r="L337" s="3"/>
    </row>
    <row r="338" spans="2:12" s="5" customFormat="1" ht="12" customHeight="1">
      <c r="B338" s="48">
        <v>333</v>
      </c>
      <c r="C338" s="56" t="s">
        <v>237</v>
      </c>
      <c r="D338" s="56" t="s">
        <v>4</v>
      </c>
      <c r="E338" s="56">
        <v>180</v>
      </c>
      <c r="F338" s="57">
        <v>1840</v>
      </c>
      <c r="G338" s="58">
        <v>0.39</v>
      </c>
      <c r="H338" s="59" t="s">
        <v>195</v>
      </c>
      <c r="I338" s="43">
        <f t="shared" si="10"/>
        <v>379900</v>
      </c>
      <c r="J338" s="49">
        <f t="shared" si="11"/>
        <v>377900</v>
      </c>
      <c r="K338" s="60">
        <v>353100</v>
      </c>
    </row>
    <row r="339" spans="2:12" s="25" customFormat="1" ht="12" customHeight="1">
      <c r="B339" s="48">
        <v>334</v>
      </c>
      <c r="C339" s="56" t="s">
        <v>42</v>
      </c>
      <c r="D339" s="56" t="s">
        <v>4</v>
      </c>
      <c r="E339" s="56">
        <v>85</v>
      </c>
      <c r="F339" s="57">
        <v>1100</v>
      </c>
      <c r="G339" s="58">
        <v>4.9000000000000002E-2</v>
      </c>
      <c r="H339" s="59"/>
      <c r="I339" s="43">
        <f t="shared" si="10"/>
        <v>88000</v>
      </c>
      <c r="J339" s="49">
        <f t="shared" si="11"/>
        <v>86000</v>
      </c>
      <c r="K339" s="60">
        <v>80300</v>
      </c>
      <c r="L339" s="24"/>
    </row>
    <row r="340" spans="2:12" s="5" customFormat="1" ht="12" customHeight="1">
      <c r="B340" s="48">
        <v>335</v>
      </c>
      <c r="C340" s="56" t="s">
        <v>43</v>
      </c>
      <c r="D340" s="56" t="s">
        <v>4</v>
      </c>
      <c r="E340" s="56">
        <v>64</v>
      </c>
      <c r="F340" s="57">
        <v>2025</v>
      </c>
      <c r="G340" s="58">
        <v>0.76</v>
      </c>
      <c r="H340" s="59" t="s">
        <v>195</v>
      </c>
      <c r="I340" s="43">
        <f t="shared" si="10"/>
        <v>822800</v>
      </c>
      <c r="J340" s="49">
        <f t="shared" si="11"/>
        <v>820800</v>
      </c>
      <c r="K340" s="60">
        <v>767100</v>
      </c>
      <c r="L340" s="3"/>
    </row>
    <row r="341" spans="2:12" s="5" customFormat="1" ht="12" customHeight="1">
      <c r="B341" s="48">
        <v>336</v>
      </c>
      <c r="C341" s="56" t="s">
        <v>43</v>
      </c>
      <c r="D341" s="56" t="s">
        <v>4</v>
      </c>
      <c r="E341" s="56">
        <v>100</v>
      </c>
      <c r="F341" s="57">
        <v>1600</v>
      </c>
      <c r="G341" s="58">
        <v>1.36</v>
      </c>
      <c r="H341" s="59" t="s">
        <v>195</v>
      </c>
      <c r="I341" s="43">
        <f t="shared" si="10"/>
        <v>822800</v>
      </c>
      <c r="J341" s="49">
        <f t="shared" si="11"/>
        <v>820800</v>
      </c>
      <c r="K341" s="60">
        <v>767100</v>
      </c>
      <c r="L341" s="3"/>
    </row>
    <row r="342" spans="2:12" s="5" customFormat="1" ht="12" customHeight="1">
      <c r="B342" s="48">
        <v>337</v>
      </c>
      <c r="C342" s="56" t="s">
        <v>293</v>
      </c>
      <c r="D342" s="56" t="s">
        <v>4</v>
      </c>
      <c r="E342" s="56">
        <v>435</v>
      </c>
      <c r="F342" s="57">
        <v>78</v>
      </c>
      <c r="G342" s="58">
        <v>9.5000000000000001E-2</v>
      </c>
      <c r="H342" s="59" t="s">
        <v>6</v>
      </c>
      <c r="I342" s="43">
        <f t="shared" si="10"/>
        <v>150900</v>
      </c>
      <c r="J342" s="49">
        <f t="shared" si="11"/>
        <v>148900</v>
      </c>
      <c r="K342" s="60">
        <v>139100</v>
      </c>
      <c r="L342" s="3"/>
    </row>
    <row r="343" spans="2:12" s="5" customFormat="1" ht="12" customHeight="1">
      <c r="B343" s="48">
        <v>338</v>
      </c>
      <c r="C343" s="56" t="s">
        <v>44</v>
      </c>
      <c r="D343" s="56" t="s">
        <v>4</v>
      </c>
      <c r="E343" s="56">
        <v>8</v>
      </c>
      <c r="F343" s="57">
        <v>2525</v>
      </c>
      <c r="G343" s="58">
        <f>0.042-0.005-0.014-0.001-0.001</f>
        <v>2.1000000000000005E-2</v>
      </c>
      <c r="H343" s="59" t="s">
        <v>195</v>
      </c>
      <c r="I343" s="43">
        <f t="shared" si="10"/>
        <v>288300</v>
      </c>
      <c r="J343" s="49">
        <f t="shared" si="11"/>
        <v>286300</v>
      </c>
      <c r="K343" s="60">
        <v>267500</v>
      </c>
      <c r="L343" s="3"/>
    </row>
    <row r="344" spans="2:12" ht="12" customHeight="1">
      <c r="B344" s="48">
        <v>339</v>
      </c>
      <c r="C344" s="56" t="s">
        <v>44</v>
      </c>
      <c r="D344" s="56" t="s">
        <v>4</v>
      </c>
      <c r="E344" s="56">
        <v>12</v>
      </c>
      <c r="F344" s="57">
        <v>3000</v>
      </c>
      <c r="G344" s="58">
        <f>0.041-0.018</f>
        <v>2.3000000000000003E-2</v>
      </c>
      <c r="H344" s="59" t="s">
        <v>195</v>
      </c>
      <c r="I344" s="43">
        <f t="shared" si="10"/>
        <v>288300</v>
      </c>
      <c r="J344" s="49">
        <f t="shared" si="11"/>
        <v>286300</v>
      </c>
      <c r="K344" s="60">
        <v>267500</v>
      </c>
      <c r="L344" s="3"/>
    </row>
    <row r="345" spans="2:12" ht="12" customHeight="1">
      <c r="B345" s="48">
        <v>340</v>
      </c>
      <c r="C345" s="56" t="s">
        <v>44</v>
      </c>
      <c r="D345" s="56" t="s">
        <v>4</v>
      </c>
      <c r="E345" s="56">
        <v>18</v>
      </c>
      <c r="F345" s="57">
        <v>2785</v>
      </c>
      <c r="G345" s="58">
        <f>0.005+0.009+0.009</f>
        <v>2.3E-2</v>
      </c>
      <c r="H345" s="59" t="s">
        <v>195</v>
      </c>
      <c r="I345" s="43">
        <f t="shared" si="10"/>
        <v>288300</v>
      </c>
      <c r="J345" s="49">
        <f t="shared" si="11"/>
        <v>286300</v>
      </c>
      <c r="K345" s="60">
        <v>267500</v>
      </c>
      <c r="L345" s="3"/>
    </row>
    <row r="346" spans="2:12" ht="12" customHeight="1">
      <c r="B346" s="48">
        <v>341</v>
      </c>
      <c r="C346" s="56" t="s">
        <v>44</v>
      </c>
      <c r="D346" s="56" t="s">
        <v>4</v>
      </c>
      <c r="E346" s="56">
        <v>85</v>
      </c>
      <c r="F346" s="57">
        <v>3655</v>
      </c>
      <c r="G346" s="58">
        <f>0.686-0.163</f>
        <v>0.52300000000000002</v>
      </c>
      <c r="H346" s="59" t="s">
        <v>195</v>
      </c>
      <c r="I346" s="43">
        <f t="shared" si="10"/>
        <v>288300</v>
      </c>
      <c r="J346" s="49">
        <f t="shared" si="11"/>
        <v>286300</v>
      </c>
      <c r="K346" s="60">
        <v>267500</v>
      </c>
      <c r="L346" s="3"/>
    </row>
    <row r="347" spans="2:12" ht="12" customHeight="1">
      <c r="B347" s="48">
        <v>342</v>
      </c>
      <c r="C347" s="56" t="s">
        <v>294</v>
      </c>
      <c r="D347" s="56" t="s">
        <v>4</v>
      </c>
      <c r="E347" s="56">
        <v>45</v>
      </c>
      <c r="F347" s="57">
        <v>720</v>
      </c>
      <c r="G347" s="58">
        <v>8.0000000000000002E-3</v>
      </c>
      <c r="H347" s="59" t="s">
        <v>195</v>
      </c>
      <c r="I347" s="43">
        <f t="shared" si="10"/>
        <v>425700</v>
      </c>
      <c r="J347" s="49">
        <f t="shared" si="11"/>
        <v>423700</v>
      </c>
      <c r="K347" s="60">
        <v>395900</v>
      </c>
      <c r="L347" s="3"/>
    </row>
    <row r="348" spans="2:12" ht="12" customHeight="1">
      <c r="B348" s="48">
        <v>343</v>
      </c>
      <c r="C348" s="56" t="s">
        <v>45</v>
      </c>
      <c r="D348" s="56" t="s">
        <v>4</v>
      </c>
      <c r="E348" s="56">
        <v>18</v>
      </c>
      <c r="F348" s="57">
        <v>3000</v>
      </c>
      <c r="G348" s="58">
        <f>0.05-0.006-0.006</f>
        <v>3.8000000000000006E-2</v>
      </c>
      <c r="H348" s="59"/>
      <c r="I348" s="43">
        <f t="shared" si="10"/>
        <v>425700</v>
      </c>
      <c r="J348" s="49">
        <f t="shared" si="11"/>
        <v>423700</v>
      </c>
      <c r="K348" s="60">
        <v>395900</v>
      </c>
      <c r="L348" s="3"/>
    </row>
    <row r="349" spans="2:12" ht="12" customHeight="1">
      <c r="B349" s="48">
        <v>344</v>
      </c>
      <c r="C349" s="56" t="s">
        <v>45</v>
      </c>
      <c r="D349" s="56" t="s">
        <v>4</v>
      </c>
      <c r="E349" s="56">
        <v>70</v>
      </c>
      <c r="F349" s="57">
        <v>3140</v>
      </c>
      <c r="G349" s="58">
        <v>9.5000000000000001E-2</v>
      </c>
      <c r="H349" s="59" t="s">
        <v>195</v>
      </c>
      <c r="I349" s="43">
        <f t="shared" si="10"/>
        <v>425700</v>
      </c>
      <c r="J349" s="49">
        <f t="shared" si="11"/>
        <v>423700</v>
      </c>
      <c r="K349" s="60">
        <v>395900</v>
      </c>
      <c r="L349" s="5"/>
    </row>
    <row r="350" spans="2:12" ht="12" customHeight="1">
      <c r="B350" s="48">
        <v>345</v>
      </c>
      <c r="C350" s="56" t="s">
        <v>45</v>
      </c>
      <c r="D350" s="56" t="s">
        <v>4</v>
      </c>
      <c r="E350" s="56">
        <v>130</v>
      </c>
      <c r="F350" s="57">
        <v>1705</v>
      </c>
      <c r="G350" s="58">
        <v>0.56000000000000005</v>
      </c>
      <c r="H350" s="59" t="s">
        <v>195</v>
      </c>
      <c r="I350" s="43">
        <f t="shared" si="10"/>
        <v>425700</v>
      </c>
      <c r="J350" s="49">
        <f t="shared" si="11"/>
        <v>423700</v>
      </c>
      <c r="K350" s="60">
        <v>395900</v>
      </c>
      <c r="L350" s="5"/>
    </row>
    <row r="351" spans="2:12" s="5" customFormat="1" ht="12" customHeight="1">
      <c r="B351" s="48">
        <v>346</v>
      </c>
      <c r="C351" s="56" t="s">
        <v>295</v>
      </c>
      <c r="D351" s="56" t="s">
        <v>4</v>
      </c>
      <c r="E351" s="56">
        <v>130</v>
      </c>
      <c r="F351" s="57">
        <v>3215</v>
      </c>
      <c r="G351" s="58">
        <v>0.7</v>
      </c>
      <c r="H351" s="59" t="s">
        <v>195</v>
      </c>
      <c r="I351" s="43">
        <f t="shared" si="10"/>
        <v>425700</v>
      </c>
      <c r="J351" s="49">
        <f t="shared" si="11"/>
        <v>423700</v>
      </c>
      <c r="K351" s="60">
        <v>395900</v>
      </c>
      <c r="L351" s="3"/>
    </row>
    <row r="352" spans="2:12" ht="12" customHeight="1">
      <c r="B352" s="48">
        <v>347</v>
      </c>
      <c r="C352" s="56" t="s">
        <v>295</v>
      </c>
      <c r="D352" s="56" t="s">
        <v>4</v>
      </c>
      <c r="E352" s="56">
        <v>140</v>
      </c>
      <c r="F352" s="57">
        <v>1465</v>
      </c>
      <c r="G352" s="58">
        <v>0.18</v>
      </c>
      <c r="H352" s="59" t="s">
        <v>195</v>
      </c>
      <c r="I352" s="43">
        <f t="shared" si="10"/>
        <v>425700</v>
      </c>
      <c r="J352" s="49">
        <f t="shared" si="11"/>
        <v>423700</v>
      </c>
      <c r="K352" s="60">
        <v>395900</v>
      </c>
      <c r="L352" s="3"/>
    </row>
    <row r="353" spans="1:12" s="5" customFormat="1" ht="12" customHeight="1">
      <c r="B353" s="48">
        <v>348</v>
      </c>
      <c r="C353" s="56" t="s">
        <v>45</v>
      </c>
      <c r="D353" s="56" t="s">
        <v>4</v>
      </c>
      <c r="E353" s="56">
        <v>140</v>
      </c>
      <c r="F353" s="57">
        <v>2050</v>
      </c>
      <c r="G353" s="58">
        <v>0.25</v>
      </c>
      <c r="H353" s="59" t="s">
        <v>195</v>
      </c>
      <c r="I353" s="43">
        <f t="shared" si="10"/>
        <v>425700</v>
      </c>
      <c r="J353" s="49">
        <f t="shared" si="11"/>
        <v>423700</v>
      </c>
      <c r="K353" s="60">
        <v>395900</v>
      </c>
      <c r="L353" s="3"/>
    </row>
    <row r="354" spans="1:12" ht="12" customHeight="1">
      <c r="B354" s="48">
        <v>349</v>
      </c>
      <c r="C354" s="56" t="s">
        <v>45</v>
      </c>
      <c r="D354" s="56" t="s">
        <v>4</v>
      </c>
      <c r="E354" s="56">
        <v>140</v>
      </c>
      <c r="F354" s="57">
        <v>2460</v>
      </c>
      <c r="G354" s="58">
        <v>0.30199999999999999</v>
      </c>
      <c r="H354" s="59" t="s">
        <v>195</v>
      </c>
      <c r="I354" s="43">
        <f t="shared" si="10"/>
        <v>425700</v>
      </c>
      <c r="J354" s="49">
        <f t="shared" si="11"/>
        <v>423700</v>
      </c>
      <c r="K354" s="60">
        <v>395900</v>
      </c>
      <c r="L354" s="3"/>
    </row>
    <row r="355" spans="1:12" customFormat="1" ht="12" customHeight="1">
      <c r="A355" s="4"/>
      <c r="B355" s="48">
        <v>350</v>
      </c>
      <c r="C355" s="56" t="s">
        <v>296</v>
      </c>
      <c r="D355" s="56" t="s">
        <v>4</v>
      </c>
      <c r="E355" s="56">
        <v>140</v>
      </c>
      <c r="F355" s="57">
        <v>2315</v>
      </c>
      <c r="G355" s="58">
        <v>1.605</v>
      </c>
      <c r="H355" s="59" t="s">
        <v>195</v>
      </c>
      <c r="I355" s="43">
        <f t="shared" si="10"/>
        <v>460000</v>
      </c>
      <c r="J355" s="49">
        <f t="shared" si="11"/>
        <v>458000</v>
      </c>
      <c r="K355" s="60">
        <v>428000</v>
      </c>
      <c r="L355" s="3"/>
    </row>
    <row r="356" spans="1:12" customFormat="1" ht="12" customHeight="1">
      <c r="A356" s="4"/>
      <c r="B356" s="48">
        <v>351</v>
      </c>
      <c r="C356" s="56" t="s">
        <v>45</v>
      </c>
      <c r="D356" s="56" t="s">
        <v>4</v>
      </c>
      <c r="E356" s="56">
        <v>147</v>
      </c>
      <c r="F356" s="57">
        <v>1960</v>
      </c>
      <c r="G356" s="58">
        <v>0.26600000000000001</v>
      </c>
      <c r="H356" s="59" t="s">
        <v>195</v>
      </c>
      <c r="I356" s="43">
        <f t="shared" si="10"/>
        <v>425700</v>
      </c>
      <c r="J356" s="49">
        <f t="shared" si="11"/>
        <v>423700</v>
      </c>
      <c r="K356" s="60">
        <v>395900</v>
      </c>
    </row>
    <row r="357" spans="1:12" customFormat="1" ht="12" customHeight="1">
      <c r="A357" s="4"/>
      <c r="B357" s="48">
        <v>352</v>
      </c>
      <c r="C357" s="56" t="s">
        <v>45</v>
      </c>
      <c r="D357" s="56" t="s">
        <v>4</v>
      </c>
      <c r="E357" s="56">
        <v>170</v>
      </c>
      <c r="F357" s="57">
        <v>590</v>
      </c>
      <c r="G357" s="58">
        <f>3.045-0.105-0.105-0.315-0.315-0.21</f>
        <v>1.9950000000000001</v>
      </c>
      <c r="H357" s="59" t="s">
        <v>256</v>
      </c>
      <c r="I357" s="43">
        <f t="shared" si="10"/>
        <v>425700</v>
      </c>
      <c r="J357" s="49">
        <f t="shared" si="11"/>
        <v>423700</v>
      </c>
      <c r="K357" s="60">
        <v>395900</v>
      </c>
    </row>
    <row r="358" spans="1:12" customFormat="1" ht="12" customHeight="1">
      <c r="A358" s="4"/>
      <c r="B358" s="48">
        <v>353</v>
      </c>
      <c r="C358" s="56" t="s">
        <v>45</v>
      </c>
      <c r="D358" s="56" t="s">
        <v>4</v>
      </c>
      <c r="E358" s="56">
        <v>735</v>
      </c>
      <c r="F358" s="57">
        <v>240</v>
      </c>
      <c r="G358" s="58">
        <v>0.88500000000000001</v>
      </c>
      <c r="H358" s="59" t="s">
        <v>6</v>
      </c>
      <c r="I358" s="43">
        <f t="shared" si="10"/>
        <v>528700</v>
      </c>
      <c r="J358" s="49">
        <f t="shared" si="11"/>
        <v>526700</v>
      </c>
      <c r="K358" s="60">
        <v>492200</v>
      </c>
    </row>
    <row r="359" spans="1:12" customFormat="1" ht="12" customHeight="1">
      <c r="A359" s="4"/>
      <c r="B359" s="48">
        <v>354</v>
      </c>
      <c r="C359" s="56" t="s">
        <v>45</v>
      </c>
      <c r="D359" s="56" t="s">
        <v>4</v>
      </c>
      <c r="E359" s="56">
        <v>745</v>
      </c>
      <c r="F359" s="57">
        <v>250</v>
      </c>
      <c r="G359" s="58">
        <v>0.87</v>
      </c>
      <c r="H359" s="59" t="s">
        <v>6</v>
      </c>
      <c r="I359" s="43">
        <f t="shared" si="10"/>
        <v>528700</v>
      </c>
      <c r="J359" s="49">
        <f t="shared" si="11"/>
        <v>526700</v>
      </c>
      <c r="K359" s="60">
        <v>492200</v>
      </c>
    </row>
    <row r="360" spans="1:12" customFormat="1" ht="12" customHeight="1">
      <c r="A360" s="4"/>
      <c r="B360" s="48">
        <v>355</v>
      </c>
      <c r="C360" s="56" t="s">
        <v>45</v>
      </c>
      <c r="D360" s="56" t="s">
        <v>4</v>
      </c>
      <c r="E360" s="56">
        <v>750</v>
      </c>
      <c r="F360" s="57">
        <v>250</v>
      </c>
      <c r="G360" s="58">
        <v>0.91500000000000004</v>
      </c>
      <c r="H360" s="59" t="s">
        <v>6</v>
      </c>
      <c r="I360" s="43">
        <f t="shared" si="10"/>
        <v>528700</v>
      </c>
      <c r="J360" s="49">
        <f t="shared" si="11"/>
        <v>526700</v>
      </c>
      <c r="K360" s="60">
        <v>492200</v>
      </c>
    </row>
    <row r="361" spans="1:12" customFormat="1" ht="12" customHeight="1">
      <c r="A361" s="4"/>
      <c r="B361" s="48">
        <v>356</v>
      </c>
      <c r="C361" s="56" t="s">
        <v>45</v>
      </c>
      <c r="D361" s="56" t="s">
        <v>4</v>
      </c>
      <c r="E361" s="56">
        <v>750</v>
      </c>
      <c r="F361" s="57">
        <v>230</v>
      </c>
      <c r="G361" s="58">
        <v>0.89</v>
      </c>
      <c r="H361" s="59" t="s">
        <v>6</v>
      </c>
      <c r="I361" s="43">
        <f t="shared" si="10"/>
        <v>528700</v>
      </c>
      <c r="J361" s="49">
        <f t="shared" si="11"/>
        <v>526700</v>
      </c>
      <c r="K361" s="60">
        <v>492200</v>
      </c>
    </row>
    <row r="362" spans="1:12" customFormat="1" ht="12" customHeight="1">
      <c r="A362" s="4"/>
      <c r="B362" s="48">
        <v>357</v>
      </c>
      <c r="C362" s="56" t="s">
        <v>297</v>
      </c>
      <c r="D362" s="56" t="s">
        <v>4</v>
      </c>
      <c r="E362" s="56">
        <v>70</v>
      </c>
      <c r="F362" s="57">
        <v>1135</v>
      </c>
      <c r="G362" s="58">
        <v>3.4000000000000002E-2</v>
      </c>
      <c r="H362" s="59" t="s">
        <v>195</v>
      </c>
      <c r="I362" s="43">
        <f t="shared" si="10"/>
        <v>431400</v>
      </c>
      <c r="J362" s="49">
        <f t="shared" si="11"/>
        <v>429400</v>
      </c>
      <c r="K362" s="60">
        <v>401300</v>
      </c>
    </row>
    <row r="363" spans="1:12" customFormat="1" ht="12" customHeight="1">
      <c r="A363" s="4"/>
      <c r="B363" s="48">
        <v>358</v>
      </c>
      <c r="C363" s="56" t="s">
        <v>298</v>
      </c>
      <c r="D363" s="56" t="s">
        <v>4</v>
      </c>
      <c r="E363" s="56">
        <v>100</v>
      </c>
      <c r="F363" s="57">
        <v>1915</v>
      </c>
      <c r="G363" s="58">
        <v>0.11799999999999999</v>
      </c>
      <c r="H363" s="59" t="s">
        <v>195</v>
      </c>
      <c r="I363" s="43">
        <f t="shared" si="10"/>
        <v>402800</v>
      </c>
      <c r="J363" s="49">
        <f t="shared" si="11"/>
        <v>400800</v>
      </c>
      <c r="K363" s="60">
        <v>374500</v>
      </c>
    </row>
    <row r="364" spans="1:12" customFormat="1" ht="12" customHeight="1">
      <c r="A364" s="4"/>
      <c r="B364" s="48">
        <v>359</v>
      </c>
      <c r="C364" s="56" t="s">
        <v>46</v>
      </c>
      <c r="D364" s="56" t="s">
        <v>4</v>
      </c>
      <c r="E364" s="56">
        <v>50</v>
      </c>
      <c r="F364" s="57">
        <v>3250</v>
      </c>
      <c r="G364" s="58">
        <v>0.05</v>
      </c>
      <c r="H364" s="59" t="s">
        <v>195</v>
      </c>
      <c r="I364" s="43">
        <f t="shared" si="10"/>
        <v>99100</v>
      </c>
      <c r="J364" s="49">
        <f t="shared" si="11"/>
        <v>97100</v>
      </c>
      <c r="K364" s="60">
        <v>90700</v>
      </c>
    </row>
    <row r="365" spans="1:12" customFormat="1" ht="12" customHeight="1">
      <c r="A365" s="4"/>
      <c r="B365" s="48">
        <v>360</v>
      </c>
      <c r="C365" s="56" t="s">
        <v>47</v>
      </c>
      <c r="D365" s="56" t="s">
        <v>4</v>
      </c>
      <c r="E365" s="56">
        <v>42</v>
      </c>
      <c r="F365" s="57">
        <v>3520</v>
      </c>
      <c r="G365" s="58">
        <f>0.955-0.183-0.1</f>
        <v>0.67200000000000004</v>
      </c>
      <c r="H365" s="59" t="s">
        <v>195</v>
      </c>
      <c r="I365" s="43">
        <f t="shared" si="10"/>
        <v>168100</v>
      </c>
      <c r="J365" s="49">
        <f t="shared" si="11"/>
        <v>166100</v>
      </c>
      <c r="K365" s="60">
        <v>155200</v>
      </c>
    </row>
    <row r="366" spans="1:12" customFormat="1" ht="12" customHeight="1">
      <c r="A366" s="4"/>
      <c r="B366" s="48">
        <v>361</v>
      </c>
      <c r="C366" s="56" t="s">
        <v>47</v>
      </c>
      <c r="D366" s="56" t="s">
        <v>4</v>
      </c>
      <c r="E366" s="56">
        <v>140</v>
      </c>
      <c r="F366" s="57">
        <v>1610</v>
      </c>
      <c r="G366" s="58">
        <f>0.2+0.205-0.2</f>
        <v>0.20500000000000002</v>
      </c>
      <c r="H366" s="59" t="s">
        <v>257</v>
      </c>
      <c r="I366" s="43">
        <f t="shared" si="10"/>
        <v>168100</v>
      </c>
      <c r="J366" s="49">
        <f t="shared" si="11"/>
        <v>166100</v>
      </c>
      <c r="K366" s="60">
        <v>155200</v>
      </c>
    </row>
    <row r="367" spans="1:12" ht="12" customHeight="1">
      <c r="B367" s="48">
        <v>362</v>
      </c>
      <c r="C367" s="56" t="s">
        <v>48</v>
      </c>
      <c r="D367" s="56" t="s">
        <v>4</v>
      </c>
      <c r="E367" s="56">
        <v>56</v>
      </c>
      <c r="F367" s="57">
        <v>1575</v>
      </c>
      <c r="G367" s="58">
        <v>3.1E-2</v>
      </c>
      <c r="H367" s="59" t="s">
        <v>195</v>
      </c>
      <c r="I367" s="43">
        <f t="shared" si="10"/>
        <v>121800</v>
      </c>
      <c r="J367" s="49">
        <f t="shared" si="11"/>
        <v>119800</v>
      </c>
      <c r="K367" s="60">
        <v>111900</v>
      </c>
      <c r="L367"/>
    </row>
    <row r="368" spans="1:12" ht="12" customHeight="1">
      <c r="B368" s="48">
        <v>363</v>
      </c>
      <c r="C368" s="56" t="s">
        <v>49</v>
      </c>
      <c r="D368" s="56" t="s">
        <v>4</v>
      </c>
      <c r="E368" s="56">
        <v>50</v>
      </c>
      <c r="F368" s="57">
        <v>4860</v>
      </c>
      <c r="G368" s="58">
        <v>7.4999999999999997E-2</v>
      </c>
      <c r="H368" s="59" t="s">
        <v>195</v>
      </c>
      <c r="I368" s="43">
        <f t="shared" si="10"/>
        <v>94400</v>
      </c>
      <c r="J368" s="49">
        <f t="shared" si="11"/>
        <v>92400</v>
      </c>
      <c r="K368" s="60">
        <v>86300</v>
      </c>
      <c r="L368" s="3"/>
    </row>
    <row r="369" spans="1:12" ht="12" customHeight="1">
      <c r="B369" s="48">
        <v>364</v>
      </c>
      <c r="C369" s="56" t="s">
        <v>50</v>
      </c>
      <c r="D369" s="56" t="s">
        <v>4</v>
      </c>
      <c r="E369" s="56">
        <v>90</v>
      </c>
      <c r="F369" s="57">
        <v>3830</v>
      </c>
      <c r="G369" s="58">
        <f>1.085-0.191</f>
        <v>0.89399999999999991</v>
      </c>
      <c r="H369" s="59" t="s">
        <v>195</v>
      </c>
      <c r="I369" s="43">
        <f t="shared" si="10"/>
        <v>102800</v>
      </c>
      <c r="J369" s="49">
        <f t="shared" si="11"/>
        <v>100800</v>
      </c>
      <c r="K369" s="60">
        <v>94200</v>
      </c>
      <c r="L369" s="5"/>
    </row>
    <row r="370" spans="1:12" ht="12" customHeight="1">
      <c r="B370" s="48">
        <v>365</v>
      </c>
      <c r="C370" s="56" t="s">
        <v>51</v>
      </c>
      <c r="D370" s="56" t="s">
        <v>4</v>
      </c>
      <c r="E370" s="56">
        <v>40</v>
      </c>
      <c r="F370" s="57" t="s">
        <v>52</v>
      </c>
      <c r="G370" s="58">
        <v>0.13200000000000001</v>
      </c>
      <c r="H370" s="59" t="s">
        <v>195</v>
      </c>
      <c r="I370" s="43">
        <f t="shared" si="10"/>
        <v>102800</v>
      </c>
      <c r="J370" s="49">
        <f t="shared" si="11"/>
        <v>100800</v>
      </c>
      <c r="K370" s="60">
        <v>94200</v>
      </c>
      <c r="L370" s="3"/>
    </row>
    <row r="371" spans="1:12" ht="12" customHeight="1">
      <c r="B371" s="48">
        <v>366</v>
      </c>
      <c r="C371" s="56" t="s">
        <v>51</v>
      </c>
      <c r="D371" s="56" t="s">
        <v>4</v>
      </c>
      <c r="E371" s="56">
        <v>70</v>
      </c>
      <c r="F371" s="57">
        <v>4635</v>
      </c>
      <c r="G371" s="58">
        <v>1.0900000000000001</v>
      </c>
      <c r="H371" s="59" t="s">
        <v>195</v>
      </c>
      <c r="I371" s="43">
        <f t="shared" si="10"/>
        <v>102800</v>
      </c>
      <c r="J371" s="49">
        <f t="shared" si="11"/>
        <v>100800</v>
      </c>
      <c r="K371" s="60">
        <v>94200</v>
      </c>
      <c r="L371" s="3"/>
    </row>
    <row r="372" spans="1:12" ht="12" customHeight="1">
      <c r="B372" s="48">
        <v>367</v>
      </c>
      <c r="C372" s="56" t="s">
        <v>51</v>
      </c>
      <c r="D372" s="56" t="s">
        <v>4</v>
      </c>
      <c r="E372" s="56">
        <v>75</v>
      </c>
      <c r="F372" s="57">
        <v>3775</v>
      </c>
      <c r="G372" s="58">
        <v>0.39200000000000002</v>
      </c>
      <c r="H372" s="59" t="s">
        <v>195</v>
      </c>
      <c r="I372" s="43">
        <f t="shared" si="10"/>
        <v>102800</v>
      </c>
      <c r="J372" s="49">
        <f t="shared" si="11"/>
        <v>100800</v>
      </c>
      <c r="K372" s="60">
        <v>94200</v>
      </c>
      <c r="L372" s="3"/>
    </row>
    <row r="373" spans="1:12" ht="12" customHeight="1">
      <c r="B373" s="48">
        <v>368</v>
      </c>
      <c r="C373" s="56" t="s">
        <v>51</v>
      </c>
      <c r="D373" s="56" t="s">
        <v>4</v>
      </c>
      <c r="E373" s="56">
        <v>80</v>
      </c>
      <c r="F373" s="57">
        <v>4300</v>
      </c>
      <c r="G373" s="58">
        <f>0.82-0.322-0.17</f>
        <v>0.32799999999999996</v>
      </c>
      <c r="H373" s="59" t="s">
        <v>195</v>
      </c>
      <c r="I373" s="43">
        <f t="shared" si="10"/>
        <v>102800</v>
      </c>
      <c r="J373" s="49">
        <f t="shared" si="11"/>
        <v>100800</v>
      </c>
      <c r="K373" s="60">
        <v>94200</v>
      </c>
      <c r="L373" s="3"/>
    </row>
    <row r="374" spans="1:12" ht="12" customHeight="1">
      <c r="B374" s="48">
        <v>369</v>
      </c>
      <c r="C374" s="56" t="s">
        <v>51</v>
      </c>
      <c r="D374" s="56" t="s">
        <v>4</v>
      </c>
      <c r="E374" s="56">
        <v>80</v>
      </c>
      <c r="F374" s="57">
        <v>4310</v>
      </c>
      <c r="G374" s="58">
        <f>2.485-0.5</f>
        <v>1.9849999999999999</v>
      </c>
      <c r="H374" s="59" t="s">
        <v>195</v>
      </c>
      <c r="I374" s="43">
        <f t="shared" si="10"/>
        <v>102800</v>
      </c>
      <c r="J374" s="49">
        <f t="shared" si="11"/>
        <v>100800</v>
      </c>
      <c r="K374" s="60">
        <v>94200</v>
      </c>
      <c r="L374" s="3"/>
    </row>
    <row r="375" spans="1:12" ht="12" customHeight="1">
      <c r="B375" s="48">
        <v>370</v>
      </c>
      <c r="C375" s="74" t="s">
        <v>53</v>
      </c>
      <c r="D375" s="74" t="s">
        <v>4</v>
      </c>
      <c r="E375" s="56">
        <v>15</v>
      </c>
      <c r="F375" s="57">
        <v>3500</v>
      </c>
      <c r="G375" s="58">
        <f>0.373-0.051</f>
        <v>0.32200000000000001</v>
      </c>
      <c r="H375" s="59" t="s">
        <v>195</v>
      </c>
      <c r="I375" s="43">
        <f t="shared" si="10"/>
        <v>156700</v>
      </c>
      <c r="J375" s="49">
        <f t="shared" si="11"/>
        <v>154700</v>
      </c>
      <c r="K375" s="60">
        <v>144500</v>
      </c>
      <c r="L375" s="3"/>
    </row>
    <row r="376" spans="1:12" ht="12" customHeight="1">
      <c r="B376" s="48">
        <v>371</v>
      </c>
      <c r="C376" s="56" t="s">
        <v>53</v>
      </c>
      <c r="D376" s="56" t="s">
        <v>4</v>
      </c>
      <c r="E376" s="56">
        <v>18</v>
      </c>
      <c r="F376" s="57">
        <v>3870</v>
      </c>
      <c r="G376" s="58">
        <v>0.10100000000000001</v>
      </c>
      <c r="H376" s="59"/>
      <c r="I376" s="43">
        <f t="shared" si="10"/>
        <v>156700</v>
      </c>
      <c r="J376" s="49">
        <f t="shared" si="11"/>
        <v>154700</v>
      </c>
      <c r="K376" s="60">
        <v>144500</v>
      </c>
      <c r="L376" s="3"/>
    </row>
    <row r="377" spans="1:12" ht="12" customHeight="1">
      <c r="B377" s="48">
        <v>372</v>
      </c>
      <c r="C377" s="56" t="s">
        <v>53</v>
      </c>
      <c r="D377" s="56" t="s">
        <v>4</v>
      </c>
      <c r="E377" s="56">
        <v>34</v>
      </c>
      <c r="F377" s="57">
        <v>3600</v>
      </c>
      <c r="G377" s="58">
        <v>5.3999999999999999E-2</v>
      </c>
      <c r="H377" s="59" t="s">
        <v>195</v>
      </c>
      <c r="I377" s="43">
        <f t="shared" si="10"/>
        <v>115500</v>
      </c>
      <c r="J377" s="49">
        <f t="shared" si="11"/>
        <v>113500</v>
      </c>
      <c r="K377" s="60">
        <v>106000</v>
      </c>
      <c r="L377" s="3"/>
    </row>
    <row r="378" spans="1:12" ht="12" customHeight="1">
      <c r="B378" s="48">
        <v>373</v>
      </c>
      <c r="C378" s="56" t="s">
        <v>53</v>
      </c>
      <c r="D378" s="56" t="s">
        <v>4</v>
      </c>
      <c r="E378" s="56">
        <v>40</v>
      </c>
      <c r="F378" s="57">
        <v>3110</v>
      </c>
      <c r="G378" s="58">
        <v>0.03</v>
      </c>
      <c r="H378" s="59" t="s">
        <v>195</v>
      </c>
      <c r="I378" s="43">
        <f t="shared" si="10"/>
        <v>156700</v>
      </c>
      <c r="J378" s="49">
        <f t="shared" si="11"/>
        <v>154700</v>
      </c>
      <c r="K378" s="60">
        <v>144500</v>
      </c>
      <c r="L378" s="3"/>
    </row>
    <row r="379" spans="1:12" ht="12" customHeight="1">
      <c r="B379" s="48">
        <v>374</v>
      </c>
      <c r="C379" s="56" t="s">
        <v>53</v>
      </c>
      <c r="D379" s="56" t="s">
        <v>4</v>
      </c>
      <c r="E379" s="56">
        <v>45</v>
      </c>
      <c r="F379" s="57">
        <v>3730</v>
      </c>
      <c r="G379" s="58">
        <f>0.035+0.044+0.046-0.08</f>
        <v>4.4999999999999998E-2</v>
      </c>
      <c r="H379" s="59" t="s">
        <v>195</v>
      </c>
      <c r="I379" s="43">
        <f t="shared" si="10"/>
        <v>288300</v>
      </c>
      <c r="J379" s="49">
        <f t="shared" si="11"/>
        <v>286300</v>
      </c>
      <c r="K379" s="60">
        <v>267500</v>
      </c>
      <c r="L379" s="3"/>
    </row>
    <row r="380" spans="1:12" ht="12" customHeight="1">
      <c r="B380" s="48">
        <v>375</v>
      </c>
      <c r="C380" s="56" t="s">
        <v>53</v>
      </c>
      <c r="D380" s="56" t="s">
        <v>4</v>
      </c>
      <c r="E380" s="56">
        <v>50</v>
      </c>
      <c r="F380" s="57">
        <v>3575</v>
      </c>
      <c r="G380" s="58">
        <f>0.054+0.077+0.077</f>
        <v>0.20800000000000002</v>
      </c>
      <c r="H380" s="59" t="s">
        <v>195</v>
      </c>
      <c r="I380" s="43">
        <f t="shared" si="10"/>
        <v>156700</v>
      </c>
      <c r="J380" s="49">
        <f t="shared" si="11"/>
        <v>154700</v>
      </c>
      <c r="K380" s="60">
        <v>144500</v>
      </c>
      <c r="L380" s="3"/>
    </row>
    <row r="381" spans="1:12" customFormat="1" ht="12" customHeight="1">
      <c r="A381" s="4"/>
      <c r="B381" s="48">
        <v>376</v>
      </c>
      <c r="C381" s="56" t="s">
        <v>53</v>
      </c>
      <c r="D381" s="56" t="s">
        <v>4</v>
      </c>
      <c r="E381" s="56">
        <v>50</v>
      </c>
      <c r="F381" s="57">
        <v>3995</v>
      </c>
      <c r="G381" s="58">
        <f>0.061+0.077</f>
        <v>0.13800000000000001</v>
      </c>
      <c r="H381" s="59" t="s">
        <v>195</v>
      </c>
      <c r="I381" s="43">
        <f t="shared" si="10"/>
        <v>156700</v>
      </c>
      <c r="J381" s="49">
        <f t="shared" si="11"/>
        <v>154700</v>
      </c>
      <c r="K381" s="60">
        <v>144500</v>
      </c>
      <c r="L381" s="3"/>
    </row>
    <row r="382" spans="1:12" ht="12" customHeight="1">
      <c r="B382" s="48">
        <v>377</v>
      </c>
      <c r="C382" s="56" t="s">
        <v>53</v>
      </c>
      <c r="D382" s="56" t="s">
        <v>4</v>
      </c>
      <c r="E382" s="56">
        <v>56</v>
      </c>
      <c r="F382" s="57">
        <v>4435</v>
      </c>
      <c r="G382" s="58">
        <f>0.084+0.085+0.089-0.084</f>
        <v>0.17399999999999999</v>
      </c>
      <c r="H382" s="59" t="s">
        <v>195</v>
      </c>
      <c r="I382" s="43">
        <f t="shared" si="10"/>
        <v>128000</v>
      </c>
      <c r="J382" s="49">
        <f t="shared" si="11"/>
        <v>126000</v>
      </c>
      <c r="K382" s="60">
        <v>117700</v>
      </c>
      <c r="L382"/>
    </row>
    <row r="383" spans="1:12" ht="12" customHeight="1">
      <c r="B383" s="48">
        <v>378</v>
      </c>
      <c r="C383" s="56" t="s">
        <v>53</v>
      </c>
      <c r="D383" s="56" t="s">
        <v>4</v>
      </c>
      <c r="E383" s="56">
        <v>70</v>
      </c>
      <c r="F383" s="57">
        <v>4150</v>
      </c>
      <c r="G383" s="58">
        <f>3.44-0.122-0.395-0.125-0.25-0.372-0.124-0.125</f>
        <v>1.927</v>
      </c>
      <c r="H383" s="59" t="s">
        <v>195</v>
      </c>
      <c r="I383" s="43">
        <f t="shared" si="10"/>
        <v>153200</v>
      </c>
      <c r="J383" s="49">
        <f t="shared" si="11"/>
        <v>151200</v>
      </c>
      <c r="K383" s="60">
        <v>141300</v>
      </c>
      <c r="L383" s="3"/>
    </row>
    <row r="384" spans="1:12" ht="12" customHeight="1">
      <c r="B384" s="48">
        <v>379</v>
      </c>
      <c r="C384" s="56" t="s">
        <v>53</v>
      </c>
      <c r="D384" s="56" t="s">
        <v>4</v>
      </c>
      <c r="E384" s="56">
        <v>70</v>
      </c>
      <c r="F384" s="57">
        <v>3955</v>
      </c>
      <c r="G384" s="58">
        <f>0.148-0.03</f>
        <v>0.11799999999999999</v>
      </c>
      <c r="H384" s="59" t="s">
        <v>195</v>
      </c>
      <c r="I384" s="43">
        <f t="shared" si="10"/>
        <v>153200</v>
      </c>
      <c r="J384" s="49">
        <f t="shared" si="11"/>
        <v>151200</v>
      </c>
      <c r="K384" s="60">
        <v>141300</v>
      </c>
      <c r="L384" s="3"/>
    </row>
    <row r="385" spans="2:12" ht="12" customHeight="1">
      <c r="B385" s="48">
        <v>380</v>
      </c>
      <c r="C385" s="56" t="s">
        <v>53</v>
      </c>
      <c r="D385" s="56" t="s">
        <v>4</v>
      </c>
      <c r="E385" s="56">
        <v>74</v>
      </c>
      <c r="F385" s="57">
        <v>3350</v>
      </c>
      <c r="G385" s="58">
        <v>1.85</v>
      </c>
      <c r="H385" s="59" t="s">
        <v>195</v>
      </c>
      <c r="I385" s="43">
        <f t="shared" si="10"/>
        <v>153200</v>
      </c>
      <c r="J385" s="49">
        <f t="shared" si="11"/>
        <v>151200</v>
      </c>
      <c r="K385" s="60">
        <v>141300</v>
      </c>
      <c r="L385" s="3"/>
    </row>
    <row r="386" spans="2:12" ht="12.75" customHeight="1">
      <c r="B386" s="48">
        <v>381</v>
      </c>
      <c r="C386" s="56" t="s">
        <v>53</v>
      </c>
      <c r="D386" s="56" t="s">
        <v>4</v>
      </c>
      <c r="E386" s="56">
        <v>75</v>
      </c>
      <c r="F386" s="57">
        <v>1740</v>
      </c>
      <c r="G386" s="58">
        <f>0.52</f>
        <v>0.52</v>
      </c>
      <c r="H386" s="59" t="s">
        <v>195</v>
      </c>
      <c r="I386" s="43">
        <f t="shared" si="10"/>
        <v>153200</v>
      </c>
      <c r="J386" s="49">
        <f t="shared" si="11"/>
        <v>151200</v>
      </c>
      <c r="K386" s="60">
        <v>141300</v>
      </c>
      <c r="L386" s="3"/>
    </row>
    <row r="387" spans="2:12" ht="12" customHeight="1">
      <c r="B387" s="48">
        <v>382</v>
      </c>
      <c r="C387" s="56" t="s">
        <v>53</v>
      </c>
      <c r="D387" s="56" t="s">
        <v>4</v>
      </c>
      <c r="E387" s="56">
        <v>75</v>
      </c>
      <c r="F387" s="57">
        <v>3465</v>
      </c>
      <c r="G387" s="58">
        <f>0.11+0.11+0.119-0.221</f>
        <v>0.11799999999999997</v>
      </c>
      <c r="H387" s="59" t="s">
        <v>195</v>
      </c>
      <c r="I387" s="43">
        <f t="shared" si="10"/>
        <v>153200</v>
      </c>
      <c r="J387" s="49">
        <f t="shared" si="11"/>
        <v>151200</v>
      </c>
      <c r="K387" s="60">
        <v>141300</v>
      </c>
      <c r="L387" s="3"/>
    </row>
    <row r="388" spans="2:12" ht="12" customHeight="1">
      <c r="B388" s="48">
        <v>383</v>
      </c>
      <c r="C388" s="56" t="s">
        <v>53</v>
      </c>
      <c r="D388" s="56" t="s">
        <v>4</v>
      </c>
      <c r="E388" s="56">
        <v>75</v>
      </c>
      <c r="F388" s="57">
        <v>3300</v>
      </c>
      <c r="G388" s="58">
        <f>0.226-0.113</f>
        <v>0.113</v>
      </c>
      <c r="H388" s="59" t="s">
        <v>195</v>
      </c>
      <c r="I388" s="43">
        <f t="shared" si="10"/>
        <v>153200</v>
      </c>
      <c r="J388" s="49">
        <f t="shared" si="11"/>
        <v>151200</v>
      </c>
      <c r="K388" s="60">
        <v>141300</v>
      </c>
      <c r="L388" s="3"/>
    </row>
    <row r="389" spans="2:12" ht="12" customHeight="1">
      <c r="B389" s="48">
        <v>384</v>
      </c>
      <c r="C389" s="56" t="s">
        <v>53</v>
      </c>
      <c r="D389" s="56" t="s">
        <v>4</v>
      </c>
      <c r="E389" s="56">
        <v>85</v>
      </c>
      <c r="F389" s="57">
        <v>3970</v>
      </c>
      <c r="G389" s="58">
        <f>0.54-0.176-0.182</f>
        <v>0.18200000000000005</v>
      </c>
      <c r="H389" s="59" t="s">
        <v>195</v>
      </c>
      <c r="I389" s="43">
        <f t="shared" si="10"/>
        <v>153200</v>
      </c>
      <c r="J389" s="49">
        <f t="shared" si="11"/>
        <v>151200</v>
      </c>
      <c r="K389" s="60">
        <v>141300</v>
      </c>
      <c r="L389" s="3"/>
    </row>
    <row r="390" spans="2:12" ht="12" customHeight="1">
      <c r="B390" s="48">
        <v>385</v>
      </c>
      <c r="C390" s="56" t="s">
        <v>53</v>
      </c>
      <c r="D390" s="56" t="s">
        <v>4</v>
      </c>
      <c r="E390" s="56">
        <v>90</v>
      </c>
      <c r="F390" s="57">
        <v>3940</v>
      </c>
      <c r="G390" s="58">
        <v>0.441</v>
      </c>
      <c r="H390" s="59" t="s">
        <v>195</v>
      </c>
      <c r="I390" s="43">
        <f t="shared" ref="I390:I453" si="12">J390+2000</f>
        <v>153200</v>
      </c>
      <c r="J390" s="49">
        <f t="shared" si="11"/>
        <v>151200</v>
      </c>
      <c r="K390" s="60">
        <v>141300</v>
      </c>
      <c r="L390" s="3"/>
    </row>
    <row r="391" spans="2:12" ht="12" customHeight="1">
      <c r="B391" s="48">
        <v>386</v>
      </c>
      <c r="C391" s="56" t="s">
        <v>53</v>
      </c>
      <c r="D391" s="56" t="s">
        <v>4</v>
      </c>
      <c r="E391" s="56">
        <v>90</v>
      </c>
      <c r="F391" s="57">
        <v>4300</v>
      </c>
      <c r="G391" s="58">
        <f>0.212+0.214+0.217</f>
        <v>0.64300000000000002</v>
      </c>
      <c r="H391" s="59" t="s">
        <v>195</v>
      </c>
      <c r="I391" s="43">
        <f t="shared" si="12"/>
        <v>153200</v>
      </c>
      <c r="J391" s="49">
        <f t="shared" ref="J391:J454" si="13">ROUNDUP(K391*1.07,-2)</f>
        <v>151200</v>
      </c>
      <c r="K391" s="60">
        <v>141300</v>
      </c>
      <c r="L391" s="3"/>
    </row>
    <row r="392" spans="2:12" ht="12" customHeight="1">
      <c r="B392" s="48">
        <v>387</v>
      </c>
      <c r="C392" s="56" t="s">
        <v>53</v>
      </c>
      <c r="D392" s="56" t="s">
        <v>4</v>
      </c>
      <c r="E392" s="56">
        <v>100</v>
      </c>
      <c r="F392" s="57">
        <v>770</v>
      </c>
      <c r="G392" s="58">
        <v>4.7E-2</v>
      </c>
      <c r="H392" s="59" t="s">
        <v>195</v>
      </c>
      <c r="I392" s="43">
        <f t="shared" si="12"/>
        <v>153200</v>
      </c>
      <c r="J392" s="49">
        <f t="shared" si="13"/>
        <v>151200</v>
      </c>
      <c r="K392" s="60">
        <v>141300</v>
      </c>
      <c r="L392" s="3"/>
    </row>
    <row r="393" spans="2:12" ht="12" customHeight="1">
      <c r="B393" s="48">
        <v>388</v>
      </c>
      <c r="C393" s="56" t="s">
        <v>53</v>
      </c>
      <c r="D393" s="56" t="s">
        <v>4</v>
      </c>
      <c r="E393" s="56">
        <v>100</v>
      </c>
      <c r="F393" s="57">
        <v>1480</v>
      </c>
      <c r="G393" s="58">
        <f>0.09+0.122+0.122+0.128</f>
        <v>0.46199999999999997</v>
      </c>
      <c r="H393" s="59" t="s">
        <v>195</v>
      </c>
      <c r="I393" s="43">
        <f t="shared" si="12"/>
        <v>153200</v>
      </c>
      <c r="J393" s="49">
        <f t="shared" si="13"/>
        <v>151200</v>
      </c>
      <c r="K393" s="60">
        <v>141300</v>
      </c>
      <c r="L393" s="3"/>
    </row>
    <row r="394" spans="2:12" ht="12" customHeight="1">
      <c r="B394" s="48">
        <v>389</v>
      </c>
      <c r="C394" s="56" t="s">
        <v>53</v>
      </c>
      <c r="D394" s="56" t="s">
        <v>4</v>
      </c>
      <c r="E394" s="56">
        <v>100</v>
      </c>
      <c r="F394" s="57">
        <v>3035</v>
      </c>
      <c r="G394" s="58">
        <v>0.185</v>
      </c>
      <c r="H394" s="59" t="s">
        <v>195</v>
      </c>
      <c r="I394" s="43">
        <f t="shared" si="12"/>
        <v>153200</v>
      </c>
      <c r="J394" s="49">
        <f t="shared" si="13"/>
        <v>151200</v>
      </c>
      <c r="K394" s="60">
        <v>141300</v>
      </c>
      <c r="L394" s="3"/>
    </row>
    <row r="395" spans="2:12" ht="12" customHeight="1">
      <c r="B395" s="48">
        <v>390</v>
      </c>
      <c r="C395" s="56" t="s">
        <v>53</v>
      </c>
      <c r="D395" s="56" t="s">
        <v>4</v>
      </c>
      <c r="E395" s="56">
        <v>100</v>
      </c>
      <c r="F395" s="57">
        <v>3350</v>
      </c>
      <c r="G395" s="58">
        <v>0.84</v>
      </c>
      <c r="H395" s="59" t="s">
        <v>195</v>
      </c>
      <c r="I395" s="43">
        <f t="shared" si="12"/>
        <v>153200</v>
      </c>
      <c r="J395" s="49">
        <f t="shared" si="13"/>
        <v>151200</v>
      </c>
      <c r="K395" s="60">
        <v>141300</v>
      </c>
      <c r="L395" s="5"/>
    </row>
    <row r="396" spans="2:12" ht="12" customHeight="1">
      <c r="B396" s="48">
        <v>391</v>
      </c>
      <c r="C396" s="56" t="s">
        <v>53</v>
      </c>
      <c r="D396" s="56" t="s">
        <v>4</v>
      </c>
      <c r="E396" s="56">
        <v>200</v>
      </c>
      <c r="F396" s="57">
        <v>460</v>
      </c>
      <c r="G396" s="58">
        <v>0.115</v>
      </c>
      <c r="H396" s="59" t="s">
        <v>195</v>
      </c>
      <c r="I396" s="43">
        <f t="shared" si="12"/>
        <v>153200</v>
      </c>
      <c r="J396" s="49">
        <f t="shared" si="13"/>
        <v>151200</v>
      </c>
      <c r="K396" s="60">
        <v>141300</v>
      </c>
      <c r="L396" s="5"/>
    </row>
    <row r="397" spans="2:12" ht="12" customHeight="1">
      <c r="B397" s="48">
        <v>392</v>
      </c>
      <c r="C397" s="56" t="s">
        <v>53</v>
      </c>
      <c r="D397" s="56" t="s">
        <v>4</v>
      </c>
      <c r="E397" s="56">
        <v>250</v>
      </c>
      <c r="F397" s="57">
        <v>70</v>
      </c>
      <c r="G397" s="58">
        <v>3.5000000000000003E-2</v>
      </c>
      <c r="H397" s="59" t="s">
        <v>6</v>
      </c>
      <c r="I397" s="43">
        <f t="shared" si="12"/>
        <v>153200</v>
      </c>
      <c r="J397" s="49">
        <f t="shared" si="13"/>
        <v>151200</v>
      </c>
      <c r="K397" s="60">
        <v>141300</v>
      </c>
      <c r="L397" s="5"/>
    </row>
    <row r="398" spans="2:12" ht="12" customHeight="1">
      <c r="B398" s="48">
        <v>393</v>
      </c>
      <c r="C398" s="56" t="s">
        <v>214</v>
      </c>
      <c r="D398" s="56" t="s">
        <v>4</v>
      </c>
      <c r="E398" s="56">
        <v>200</v>
      </c>
      <c r="F398" s="57">
        <v>2500</v>
      </c>
      <c r="G398" s="58">
        <v>0.6</v>
      </c>
      <c r="H398" s="59" t="s">
        <v>6</v>
      </c>
      <c r="I398" s="43">
        <f t="shared" si="12"/>
        <v>133800</v>
      </c>
      <c r="J398" s="49">
        <f t="shared" si="13"/>
        <v>131800</v>
      </c>
      <c r="K398" s="60">
        <v>123100</v>
      </c>
      <c r="L398" s="3"/>
    </row>
    <row r="399" spans="2:12" ht="12" customHeight="1">
      <c r="B399" s="48">
        <v>394</v>
      </c>
      <c r="C399" s="56" t="s">
        <v>275</v>
      </c>
      <c r="D399" s="56" t="s">
        <v>4</v>
      </c>
      <c r="E399" s="56">
        <v>46</v>
      </c>
      <c r="F399" s="57">
        <v>770</v>
      </c>
      <c r="G399" s="58">
        <v>0.01</v>
      </c>
      <c r="H399" s="59" t="s">
        <v>195</v>
      </c>
      <c r="I399" s="43">
        <f t="shared" si="12"/>
        <v>746200</v>
      </c>
      <c r="J399" s="49">
        <f t="shared" si="13"/>
        <v>744200</v>
      </c>
      <c r="K399" s="60">
        <v>695500</v>
      </c>
      <c r="L399" s="3"/>
    </row>
    <row r="400" spans="2:12" ht="12" customHeight="1">
      <c r="B400" s="48">
        <v>395</v>
      </c>
      <c r="C400" s="56" t="s">
        <v>275</v>
      </c>
      <c r="D400" s="56" t="s">
        <v>4</v>
      </c>
      <c r="E400" s="56">
        <v>74</v>
      </c>
      <c r="F400" s="57">
        <v>2240</v>
      </c>
      <c r="G400" s="58">
        <f>1.22+2.285+2.465</f>
        <v>5.97</v>
      </c>
      <c r="H400" s="59" t="s">
        <v>195</v>
      </c>
      <c r="I400" s="43">
        <f t="shared" si="12"/>
        <v>746200</v>
      </c>
      <c r="J400" s="49">
        <f t="shared" si="13"/>
        <v>744200</v>
      </c>
      <c r="K400" s="60">
        <v>695500</v>
      </c>
      <c r="L400" s="3"/>
    </row>
    <row r="401" spans="2:12" ht="12" customHeight="1">
      <c r="B401" s="48">
        <v>396</v>
      </c>
      <c r="C401" s="56" t="s">
        <v>275</v>
      </c>
      <c r="D401" s="56" t="s">
        <v>4</v>
      </c>
      <c r="E401" s="56">
        <v>75</v>
      </c>
      <c r="F401" s="57">
        <v>2805</v>
      </c>
      <c r="G401" s="58">
        <f>0.097+0.1</f>
        <v>0.19700000000000001</v>
      </c>
      <c r="H401" s="59" t="s">
        <v>260</v>
      </c>
      <c r="I401" s="43">
        <f t="shared" si="12"/>
        <v>746200</v>
      </c>
      <c r="J401" s="49">
        <f t="shared" si="13"/>
        <v>744200</v>
      </c>
      <c r="K401" s="60">
        <v>695500</v>
      </c>
      <c r="L401" s="3"/>
    </row>
    <row r="402" spans="2:12" ht="12" customHeight="1">
      <c r="B402" s="48">
        <v>397</v>
      </c>
      <c r="C402" s="56" t="s">
        <v>275</v>
      </c>
      <c r="D402" s="56" t="s">
        <v>4</v>
      </c>
      <c r="E402" s="56">
        <v>84</v>
      </c>
      <c r="F402" s="57">
        <v>2195</v>
      </c>
      <c r="G402" s="58">
        <f>3.64+3.135+2.54-0.148-0.143-0.435</f>
        <v>8.5890000000000004</v>
      </c>
      <c r="H402" s="59" t="s">
        <v>195</v>
      </c>
      <c r="I402" s="43">
        <f t="shared" si="12"/>
        <v>746200</v>
      </c>
      <c r="J402" s="49">
        <f t="shared" si="13"/>
        <v>744200</v>
      </c>
      <c r="K402" s="60">
        <v>695500</v>
      </c>
      <c r="L402" s="5"/>
    </row>
    <row r="403" spans="2:12" ht="12" customHeight="1">
      <c r="B403" s="48">
        <v>398</v>
      </c>
      <c r="C403" s="56" t="s">
        <v>267</v>
      </c>
      <c r="D403" s="56" t="s">
        <v>4</v>
      </c>
      <c r="E403" s="56">
        <v>200</v>
      </c>
      <c r="F403" s="57">
        <v>3330</v>
      </c>
      <c r="G403" s="58">
        <v>4.9550000000000001</v>
      </c>
      <c r="H403" s="59" t="s">
        <v>195</v>
      </c>
      <c r="I403" s="43">
        <f t="shared" si="12"/>
        <v>139400</v>
      </c>
      <c r="J403" s="49">
        <f t="shared" si="13"/>
        <v>137400</v>
      </c>
      <c r="K403" s="60">
        <v>128400</v>
      </c>
      <c r="L403" s="3"/>
    </row>
    <row r="404" spans="2:12" ht="12" customHeight="1">
      <c r="B404" s="48">
        <v>399</v>
      </c>
      <c r="C404" s="56" t="s">
        <v>235</v>
      </c>
      <c r="D404" s="56" t="s">
        <v>4</v>
      </c>
      <c r="E404" s="56">
        <v>11</v>
      </c>
      <c r="F404" s="57">
        <v>3670</v>
      </c>
      <c r="G404" s="58">
        <v>0.52400000000000002</v>
      </c>
      <c r="H404" s="59" t="s">
        <v>280</v>
      </c>
      <c r="I404" s="43">
        <f t="shared" si="12"/>
        <v>414200</v>
      </c>
      <c r="J404" s="49">
        <f t="shared" si="13"/>
        <v>412200</v>
      </c>
      <c r="K404" s="60">
        <v>385200</v>
      </c>
      <c r="L404" s="3"/>
    </row>
    <row r="405" spans="2:12" ht="12" customHeight="1">
      <c r="B405" s="48">
        <v>400</v>
      </c>
      <c r="C405" s="56" t="s">
        <v>235</v>
      </c>
      <c r="D405" s="56" t="s">
        <v>4</v>
      </c>
      <c r="E405" s="56">
        <v>12</v>
      </c>
      <c r="F405" s="57">
        <v>3278</v>
      </c>
      <c r="G405" s="58">
        <v>2E-3</v>
      </c>
      <c r="H405" s="59" t="s">
        <v>8</v>
      </c>
      <c r="I405" s="43">
        <f t="shared" si="12"/>
        <v>414200</v>
      </c>
      <c r="J405" s="49">
        <f t="shared" si="13"/>
        <v>412200</v>
      </c>
      <c r="K405" s="60">
        <v>385200</v>
      </c>
      <c r="L405" s="3"/>
    </row>
    <row r="406" spans="2:12" ht="12" customHeight="1">
      <c r="B406" s="48">
        <v>401</v>
      </c>
      <c r="C406" s="56" t="s">
        <v>235</v>
      </c>
      <c r="D406" s="56" t="s">
        <v>4</v>
      </c>
      <c r="E406" s="56">
        <v>12</v>
      </c>
      <c r="F406" s="57">
        <v>3290</v>
      </c>
      <c r="G406" s="58">
        <v>8.9999999999999993E-3</v>
      </c>
      <c r="H406" s="59" t="s">
        <v>258</v>
      </c>
      <c r="I406" s="43">
        <f t="shared" si="12"/>
        <v>414200</v>
      </c>
      <c r="J406" s="49">
        <f t="shared" si="13"/>
        <v>412200</v>
      </c>
      <c r="K406" s="60">
        <v>385200</v>
      </c>
      <c r="L406" s="5"/>
    </row>
    <row r="407" spans="2:12" ht="12" customHeight="1">
      <c r="B407" s="48">
        <v>402</v>
      </c>
      <c r="C407" s="56" t="s">
        <v>235</v>
      </c>
      <c r="D407" s="56" t="s">
        <v>4</v>
      </c>
      <c r="E407" s="56">
        <v>14</v>
      </c>
      <c r="F407" s="57">
        <v>2590</v>
      </c>
      <c r="G407" s="58">
        <f>0.003+0.004</f>
        <v>7.0000000000000001E-3</v>
      </c>
      <c r="H407" s="59" t="s">
        <v>195</v>
      </c>
      <c r="I407" s="43">
        <f t="shared" si="12"/>
        <v>414200</v>
      </c>
      <c r="J407" s="49">
        <f t="shared" si="13"/>
        <v>412200</v>
      </c>
      <c r="K407" s="60">
        <v>385200</v>
      </c>
      <c r="L407" s="5"/>
    </row>
    <row r="408" spans="2:12" ht="12" customHeight="1">
      <c r="B408" s="48">
        <v>403</v>
      </c>
      <c r="C408" s="56" t="s">
        <v>235</v>
      </c>
      <c r="D408" s="56" t="s">
        <v>4</v>
      </c>
      <c r="E408" s="56">
        <v>14</v>
      </c>
      <c r="F408" s="57">
        <v>4610</v>
      </c>
      <c r="G408" s="58">
        <v>6.0000000000000001E-3</v>
      </c>
      <c r="H408" s="59" t="s">
        <v>218</v>
      </c>
      <c r="I408" s="43">
        <f t="shared" si="12"/>
        <v>414200</v>
      </c>
      <c r="J408" s="49">
        <f t="shared" si="13"/>
        <v>412200</v>
      </c>
      <c r="K408" s="60">
        <v>385200</v>
      </c>
      <c r="L408" s="3"/>
    </row>
    <row r="409" spans="2:12" ht="12" customHeight="1">
      <c r="B409" s="48">
        <v>404</v>
      </c>
      <c r="C409" s="56" t="s">
        <v>235</v>
      </c>
      <c r="D409" s="56" t="s">
        <v>4</v>
      </c>
      <c r="E409" s="56">
        <v>15</v>
      </c>
      <c r="F409" s="57">
        <v>2555</v>
      </c>
      <c r="G409" s="58">
        <v>0.12</v>
      </c>
      <c r="H409" s="59" t="s">
        <v>8</v>
      </c>
      <c r="I409" s="43">
        <f t="shared" si="12"/>
        <v>414200</v>
      </c>
      <c r="J409" s="49">
        <f t="shared" si="13"/>
        <v>412200</v>
      </c>
      <c r="K409" s="60">
        <v>385200</v>
      </c>
      <c r="L409" s="3"/>
    </row>
    <row r="410" spans="2:12" ht="12" customHeight="1">
      <c r="B410" s="48">
        <v>405</v>
      </c>
      <c r="C410" s="56" t="s">
        <v>235</v>
      </c>
      <c r="D410" s="56" t="s">
        <v>4</v>
      </c>
      <c r="E410" s="56">
        <v>15</v>
      </c>
      <c r="F410" s="57">
        <v>3250</v>
      </c>
      <c r="G410" s="58">
        <v>1.6E-2</v>
      </c>
      <c r="H410" s="59" t="s">
        <v>8</v>
      </c>
      <c r="I410" s="43">
        <f t="shared" si="12"/>
        <v>414200</v>
      </c>
      <c r="J410" s="49">
        <f t="shared" si="13"/>
        <v>412200</v>
      </c>
      <c r="K410" s="60">
        <v>385200</v>
      </c>
      <c r="L410" s="3"/>
    </row>
    <row r="411" spans="2:12" ht="12" customHeight="1">
      <c r="B411" s="48">
        <v>406</v>
      </c>
      <c r="C411" s="56" t="s">
        <v>235</v>
      </c>
      <c r="D411" s="56" t="s">
        <v>4</v>
      </c>
      <c r="E411" s="56">
        <v>16</v>
      </c>
      <c r="F411" s="57">
        <v>2560</v>
      </c>
      <c r="G411" s="58">
        <f>0.182-0.044-0.052</f>
        <v>8.6000000000000021E-2</v>
      </c>
      <c r="H411" s="59" t="s">
        <v>8</v>
      </c>
      <c r="I411" s="43">
        <f t="shared" si="12"/>
        <v>414200</v>
      </c>
      <c r="J411" s="49">
        <f t="shared" si="13"/>
        <v>412200</v>
      </c>
      <c r="K411" s="60">
        <v>385200</v>
      </c>
      <c r="L411" s="3"/>
    </row>
    <row r="412" spans="2:12" ht="12" customHeight="1">
      <c r="B412" s="48">
        <v>407</v>
      </c>
      <c r="C412" s="56" t="s">
        <v>235</v>
      </c>
      <c r="D412" s="56" t="s">
        <v>4</v>
      </c>
      <c r="E412" s="56">
        <v>16</v>
      </c>
      <c r="F412" s="57">
        <v>3000</v>
      </c>
      <c r="G412" s="58">
        <v>0.48599999999999999</v>
      </c>
      <c r="H412" s="59" t="s">
        <v>8</v>
      </c>
      <c r="I412" s="43">
        <f t="shared" si="12"/>
        <v>414200</v>
      </c>
      <c r="J412" s="49">
        <f t="shared" si="13"/>
        <v>412200</v>
      </c>
      <c r="K412" s="60">
        <v>385200</v>
      </c>
      <c r="L412" s="3"/>
    </row>
    <row r="413" spans="2:12" ht="12" customHeight="1">
      <c r="B413" s="48">
        <v>408</v>
      </c>
      <c r="C413" s="56" t="s">
        <v>235</v>
      </c>
      <c r="D413" s="56" t="s">
        <v>4</v>
      </c>
      <c r="E413" s="56">
        <v>17</v>
      </c>
      <c r="F413" s="57">
        <v>2645</v>
      </c>
      <c r="G413" s="58">
        <v>0.104</v>
      </c>
      <c r="H413" s="59" t="s">
        <v>8</v>
      </c>
      <c r="I413" s="43">
        <f t="shared" si="12"/>
        <v>414200</v>
      </c>
      <c r="J413" s="49">
        <f t="shared" si="13"/>
        <v>412200</v>
      </c>
      <c r="K413" s="60">
        <v>385200</v>
      </c>
      <c r="L413" s="3"/>
    </row>
    <row r="414" spans="2:12" ht="12" customHeight="1">
      <c r="B414" s="48">
        <v>409</v>
      </c>
      <c r="C414" s="56" t="s">
        <v>235</v>
      </c>
      <c r="D414" s="56" t="s">
        <v>4</v>
      </c>
      <c r="E414" s="56">
        <v>17</v>
      </c>
      <c r="F414" s="57">
        <v>3095</v>
      </c>
      <c r="G414" s="58">
        <v>0.114</v>
      </c>
      <c r="H414" s="59" t="s">
        <v>8</v>
      </c>
      <c r="I414" s="43">
        <f t="shared" si="12"/>
        <v>414200</v>
      </c>
      <c r="J414" s="49">
        <f t="shared" si="13"/>
        <v>412200</v>
      </c>
      <c r="K414" s="60">
        <v>385200</v>
      </c>
      <c r="L414" s="3"/>
    </row>
    <row r="415" spans="2:12" ht="12" customHeight="1">
      <c r="B415" s="48">
        <v>410</v>
      </c>
      <c r="C415" s="56" t="s">
        <v>235</v>
      </c>
      <c r="D415" s="56" t="s">
        <v>4</v>
      </c>
      <c r="E415" s="56">
        <v>17</v>
      </c>
      <c r="F415" s="57">
        <v>4115</v>
      </c>
      <c r="G415" s="58">
        <v>6.0000000000000001E-3</v>
      </c>
      <c r="H415" s="59" t="s">
        <v>8</v>
      </c>
      <c r="I415" s="43">
        <f t="shared" si="12"/>
        <v>414200</v>
      </c>
      <c r="J415" s="49">
        <f t="shared" si="13"/>
        <v>412200</v>
      </c>
      <c r="K415" s="60">
        <v>385200</v>
      </c>
      <c r="L415" s="3"/>
    </row>
    <row r="416" spans="2:12" ht="12" customHeight="1">
      <c r="B416" s="48">
        <v>411</v>
      </c>
      <c r="C416" s="56" t="s">
        <v>235</v>
      </c>
      <c r="D416" s="56" t="s">
        <v>4</v>
      </c>
      <c r="E416" s="80">
        <v>19</v>
      </c>
      <c r="F416" s="68">
        <v>4320</v>
      </c>
      <c r="G416" s="81">
        <v>8.9999999999999993E-3</v>
      </c>
      <c r="H416" s="69" t="s">
        <v>8</v>
      </c>
      <c r="I416" s="43">
        <f t="shared" si="12"/>
        <v>414200</v>
      </c>
      <c r="J416" s="49">
        <f t="shared" si="13"/>
        <v>412200</v>
      </c>
      <c r="K416" s="60">
        <v>385200</v>
      </c>
      <c r="L416" s="3"/>
    </row>
    <row r="417" spans="2:12" ht="12" customHeight="1">
      <c r="B417" s="48">
        <v>412</v>
      </c>
      <c r="C417" s="56" t="s">
        <v>235</v>
      </c>
      <c r="D417" s="56" t="s">
        <v>4</v>
      </c>
      <c r="E417" s="56">
        <v>20</v>
      </c>
      <c r="F417" s="57">
        <v>1930</v>
      </c>
      <c r="G417" s="58">
        <f>0.434-0.062-0.015</f>
        <v>0.35699999999999998</v>
      </c>
      <c r="H417" s="59" t="s">
        <v>8</v>
      </c>
      <c r="I417" s="43">
        <f t="shared" si="12"/>
        <v>414200</v>
      </c>
      <c r="J417" s="49">
        <f t="shared" si="13"/>
        <v>412200</v>
      </c>
      <c r="K417" s="60">
        <v>385200</v>
      </c>
      <c r="L417" s="3"/>
    </row>
    <row r="418" spans="2:12" ht="12" customHeight="1">
      <c r="B418" s="48">
        <v>413</v>
      </c>
      <c r="C418" s="56" t="s">
        <v>235</v>
      </c>
      <c r="D418" s="56" t="s">
        <v>4</v>
      </c>
      <c r="E418" s="56">
        <v>20</v>
      </c>
      <c r="F418" s="57">
        <v>5550</v>
      </c>
      <c r="G418" s="58">
        <v>1.4E-2</v>
      </c>
      <c r="H418" s="59" t="s">
        <v>195</v>
      </c>
      <c r="I418" s="43">
        <f t="shared" si="12"/>
        <v>414200</v>
      </c>
      <c r="J418" s="49">
        <f t="shared" si="13"/>
        <v>412200</v>
      </c>
      <c r="K418" s="60">
        <v>385200</v>
      </c>
      <c r="L418" s="3"/>
    </row>
    <row r="419" spans="2:12" ht="12" customHeight="1">
      <c r="B419" s="48">
        <v>414</v>
      </c>
      <c r="C419" s="56" t="s">
        <v>235</v>
      </c>
      <c r="D419" s="56" t="s">
        <v>4</v>
      </c>
      <c r="E419" s="56">
        <v>21</v>
      </c>
      <c r="F419" s="57">
        <v>2910</v>
      </c>
      <c r="G419" s="58">
        <v>0.13</v>
      </c>
      <c r="H419" s="59" t="s">
        <v>280</v>
      </c>
      <c r="I419" s="43">
        <f t="shared" si="12"/>
        <v>414200</v>
      </c>
      <c r="J419" s="49">
        <f t="shared" si="13"/>
        <v>412200</v>
      </c>
      <c r="K419" s="60">
        <v>385200</v>
      </c>
      <c r="L419" s="5"/>
    </row>
    <row r="420" spans="2:12" ht="12" customHeight="1">
      <c r="B420" s="48">
        <v>415</v>
      </c>
      <c r="C420" s="56" t="s">
        <v>235</v>
      </c>
      <c r="D420" s="56" t="s">
        <v>4</v>
      </c>
      <c r="E420" s="56">
        <v>21</v>
      </c>
      <c r="F420" s="57">
        <v>3145</v>
      </c>
      <c r="G420" s="58">
        <v>8.0000000000000002E-3</v>
      </c>
      <c r="H420" s="59" t="s">
        <v>8</v>
      </c>
      <c r="I420" s="43">
        <f t="shared" si="12"/>
        <v>414200</v>
      </c>
      <c r="J420" s="49">
        <f t="shared" si="13"/>
        <v>412200</v>
      </c>
      <c r="K420" s="60">
        <v>385200</v>
      </c>
      <c r="L420" s="3"/>
    </row>
    <row r="421" spans="2:12" ht="12" customHeight="1">
      <c r="B421" s="48">
        <v>416</v>
      </c>
      <c r="C421" s="56" t="s">
        <v>235</v>
      </c>
      <c r="D421" s="56" t="s">
        <v>4</v>
      </c>
      <c r="E421" s="59">
        <v>21.5</v>
      </c>
      <c r="F421" s="57">
        <v>4085</v>
      </c>
      <c r="G421" s="58">
        <v>1.0999999999999999E-2</v>
      </c>
      <c r="H421" s="59" t="s">
        <v>8</v>
      </c>
      <c r="I421" s="43">
        <f t="shared" si="12"/>
        <v>414200</v>
      </c>
      <c r="J421" s="49">
        <f t="shared" si="13"/>
        <v>412200</v>
      </c>
      <c r="K421" s="60">
        <v>385200</v>
      </c>
      <c r="L421" s="3"/>
    </row>
    <row r="422" spans="2:12" ht="12" customHeight="1">
      <c r="B422" s="48">
        <v>417</v>
      </c>
      <c r="C422" s="56" t="s">
        <v>235</v>
      </c>
      <c r="D422" s="56" t="s">
        <v>4</v>
      </c>
      <c r="E422" s="56">
        <v>24</v>
      </c>
      <c r="F422" s="57">
        <v>4255</v>
      </c>
      <c r="G422" s="58">
        <f>0.476-0.043-0.075</f>
        <v>0.35799999999999998</v>
      </c>
      <c r="H422" s="59" t="s">
        <v>8</v>
      </c>
      <c r="I422" s="43">
        <f t="shared" si="12"/>
        <v>414200</v>
      </c>
      <c r="J422" s="49">
        <f t="shared" si="13"/>
        <v>412200</v>
      </c>
      <c r="K422" s="60">
        <v>385200</v>
      </c>
      <c r="L422" s="3"/>
    </row>
    <row r="423" spans="2:12" ht="12" customHeight="1">
      <c r="B423" s="48">
        <v>418</v>
      </c>
      <c r="C423" s="56" t="s">
        <v>235</v>
      </c>
      <c r="D423" s="56" t="s">
        <v>4</v>
      </c>
      <c r="E423" s="56">
        <v>25</v>
      </c>
      <c r="F423" s="57">
        <v>3990</v>
      </c>
      <c r="G423" s="58">
        <v>1.4E-2</v>
      </c>
      <c r="H423" s="59" t="s">
        <v>8</v>
      </c>
      <c r="I423" s="43">
        <f t="shared" si="12"/>
        <v>414200</v>
      </c>
      <c r="J423" s="49">
        <f t="shared" si="13"/>
        <v>412200</v>
      </c>
      <c r="K423" s="60">
        <v>385200</v>
      </c>
      <c r="L423" s="3"/>
    </row>
    <row r="424" spans="2:12" ht="12" customHeight="1">
      <c r="B424" s="48">
        <v>419</v>
      </c>
      <c r="C424" s="56" t="s">
        <v>235</v>
      </c>
      <c r="D424" s="56" t="s">
        <v>4</v>
      </c>
      <c r="E424" s="56">
        <v>28</v>
      </c>
      <c r="F424" s="57">
        <v>5900</v>
      </c>
      <c r="G424" s="58">
        <v>2.8000000000000001E-2</v>
      </c>
      <c r="H424" s="59" t="s">
        <v>195</v>
      </c>
      <c r="I424" s="43">
        <f t="shared" si="12"/>
        <v>414200</v>
      </c>
      <c r="J424" s="49">
        <f t="shared" si="13"/>
        <v>412200</v>
      </c>
      <c r="K424" s="60">
        <v>385200</v>
      </c>
      <c r="L424" s="3"/>
    </row>
    <row r="425" spans="2:12" ht="12" customHeight="1">
      <c r="B425" s="48">
        <v>420</v>
      </c>
      <c r="C425" s="56" t="s">
        <v>235</v>
      </c>
      <c r="D425" s="56" t="s">
        <v>4</v>
      </c>
      <c r="E425" s="59">
        <v>29.5</v>
      </c>
      <c r="F425" s="57">
        <v>3040</v>
      </c>
      <c r="G425" s="58">
        <v>3.5999999999999997E-2</v>
      </c>
      <c r="H425" s="59" t="s">
        <v>8</v>
      </c>
      <c r="I425" s="43">
        <f t="shared" si="12"/>
        <v>414200</v>
      </c>
      <c r="J425" s="49">
        <f t="shared" si="13"/>
        <v>412200</v>
      </c>
      <c r="K425" s="60">
        <v>385200</v>
      </c>
      <c r="L425" s="3"/>
    </row>
    <row r="426" spans="2:12" ht="12" customHeight="1">
      <c r="B426" s="48">
        <v>421</v>
      </c>
      <c r="C426" s="56" t="s">
        <v>235</v>
      </c>
      <c r="D426" s="56" t="s">
        <v>4</v>
      </c>
      <c r="E426" s="56">
        <v>30</v>
      </c>
      <c r="F426" s="57">
        <v>3020</v>
      </c>
      <c r="G426" s="58">
        <f>0.276-0.11-0.087-0.017</f>
        <v>6.2000000000000041E-2</v>
      </c>
      <c r="H426" s="59" t="s">
        <v>280</v>
      </c>
      <c r="I426" s="43">
        <f t="shared" si="12"/>
        <v>414200</v>
      </c>
      <c r="J426" s="49">
        <f t="shared" si="13"/>
        <v>412200</v>
      </c>
      <c r="K426" s="60">
        <v>385200</v>
      </c>
      <c r="L426" s="3"/>
    </row>
    <row r="427" spans="2:12" ht="12" customHeight="1">
      <c r="B427" s="48">
        <v>422</v>
      </c>
      <c r="C427" s="67" t="s">
        <v>235</v>
      </c>
      <c r="D427" s="56" t="s">
        <v>4</v>
      </c>
      <c r="E427" s="56">
        <v>30</v>
      </c>
      <c r="F427" s="57">
        <v>2630</v>
      </c>
      <c r="G427" s="58">
        <f>0.142-0.017-0.096</f>
        <v>2.8999999999999984E-2</v>
      </c>
      <c r="H427" s="59" t="s">
        <v>280</v>
      </c>
      <c r="I427" s="43">
        <f t="shared" si="12"/>
        <v>414200</v>
      </c>
      <c r="J427" s="49">
        <f t="shared" si="13"/>
        <v>412200</v>
      </c>
      <c r="K427" s="60">
        <v>385200</v>
      </c>
      <c r="L427" s="3"/>
    </row>
    <row r="428" spans="2:12" ht="12" customHeight="1">
      <c r="B428" s="48">
        <v>423</v>
      </c>
      <c r="C428" s="56" t="s">
        <v>235</v>
      </c>
      <c r="D428" s="56" t="s">
        <v>4</v>
      </c>
      <c r="E428" s="56">
        <v>30</v>
      </c>
      <c r="F428" s="57">
        <v>2920</v>
      </c>
      <c r="G428" s="58">
        <f>0.176-0.064-0.08</f>
        <v>3.1999999999999987E-2</v>
      </c>
      <c r="H428" s="59" t="s">
        <v>280</v>
      </c>
      <c r="I428" s="43">
        <f t="shared" si="12"/>
        <v>414200</v>
      </c>
      <c r="J428" s="49">
        <f t="shared" si="13"/>
        <v>412200</v>
      </c>
      <c r="K428" s="60">
        <v>385200</v>
      </c>
      <c r="L428" s="3"/>
    </row>
    <row r="429" spans="2:12" ht="12" customHeight="1">
      <c r="B429" s="48">
        <v>424</v>
      </c>
      <c r="C429" s="67" t="s">
        <v>235</v>
      </c>
      <c r="D429" s="56" t="s">
        <v>4</v>
      </c>
      <c r="E429" s="56">
        <v>32</v>
      </c>
      <c r="F429" s="57">
        <v>3070</v>
      </c>
      <c r="G429" s="58">
        <v>1.9E-2</v>
      </c>
      <c r="H429" s="59" t="s">
        <v>195</v>
      </c>
      <c r="I429" s="43">
        <f t="shared" si="12"/>
        <v>414200</v>
      </c>
      <c r="J429" s="49">
        <f t="shared" si="13"/>
        <v>412200</v>
      </c>
      <c r="K429" s="60">
        <v>385200</v>
      </c>
      <c r="L429" s="3"/>
    </row>
    <row r="430" spans="2:12" ht="12" customHeight="1">
      <c r="B430" s="48">
        <v>425</v>
      </c>
      <c r="C430" s="56" t="s">
        <v>235</v>
      </c>
      <c r="D430" s="56" t="s">
        <v>4</v>
      </c>
      <c r="E430" s="56">
        <v>34</v>
      </c>
      <c r="F430" s="57">
        <v>2630</v>
      </c>
      <c r="G430" s="58">
        <v>1.9E-2</v>
      </c>
      <c r="H430" s="59" t="s">
        <v>195</v>
      </c>
      <c r="I430" s="43">
        <f t="shared" si="12"/>
        <v>414200</v>
      </c>
      <c r="J430" s="49">
        <f t="shared" si="13"/>
        <v>412200</v>
      </c>
      <c r="K430" s="60">
        <v>385200</v>
      </c>
      <c r="L430" s="5"/>
    </row>
    <row r="431" spans="2:12" ht="12" customHeight="1">
      <c r="B431" s="48">
        <v>426</v>
      </c>
      <c r="C431" s="67" t="s">
        <v>235</v>
      </c>
      <c r="D431" s="56" t="s">
        <v>4</v>
      </c>
      <c r="E431" s="56">
        <v>38</v>
      </c>
      <c r="F431" s="57">
        <v>685</v>
      </c>
      <c r="G431" s="58">
        <f>0.075-0.024-0.017-0.008</f>
        <v>2.5999999999999995E-2</v>
      </c>
      <c r="H431" s="59" t="s">
        <v>195</v>
      </c>
      <c r="I431" s="43">
        <f t="shared" si="12"/>
        <v>414200</v>
      </c>
      <c r="J431" s="49">
        <f t="shared" si="13"/>
        <v>412200</v>
      </c>
      <c r="K431" s="60">
        <v>385200</v>
      </c>
      <c r="L431" s="3"/>
    </row>
    <row r="432" spans="2:12" ht="12" customHeight="1">
      <c r="B432" s="48">
        <v>427</v>
      </c>
      <c r="C432" s="56" t="s">
        <v>235</v>
      </c>
      <c r="D432" s="56" t="s">
        <v>4</v>
      </c>
      <c r="E432" s="56">
        <v>40</v>
      </c>
      <c r="F432" s="57">
        <v>1825</v>
      </c>
      <c r="G432" s="58">
        <f>0.325-0.017-0.1</f>
        <v>0.20799999999999999</v>
      </c>
      <c r="H432" s="59" t="s">
        <v>195</v>
      </c>
      <c r="I432" s="43">
        <f t="shared" si="12"/>
        <v>414200</v>
      </c>
      <c r="J432" s="49">
        <f t="shared" si="13"/>
        <v>412200</v>
      </c>
      <c r="K432" s="60">
        <v>385200</v>
      </c>
      <c r="L432" s="3"/>
    </row>
    <row r="433" spans="2:12" ht="12" customHeight="1">
      <c r="B433" s="48">
        <v>428</v>
      </c>
      <c r="C433" s="56" t="s">
        <v>235</v>
      </c>
      <c r="D433" s="56" t="s">
        <v>4</v>
      </c>
      <c r="E433" s="56">
        <v>40</v>
      </c>
      <c r="F433" s="57">
        <v>2450</v>
      </c>
      <c r="G433" s="58">
        <f>1.976-0.306</f>
        <v>1.67</v>
      </c>
      <c r="H433" s="59" t="s">
        <v>280</v>
      </c>
      <c r="I433" s="43">
        <f t="shared" si="12"/>
        <v>414200</v>
      </c>
      <c r="J433" s="49">
        <f t="shared" si="13"/>
        <v>412200</v>
      </c>
      <c r="K433" s="60">
        <v>385200</v>
      </c>
      <c r="L433" s="3"/>
    </row>
    <row r="434" spans="2:12" ht="12" customHeight="1">
      <c r="B434" s="48">
        <v>429</v>
      </c>
      <c r="C434" s="56" t="s">
        <v>235</v>
      </c>
      <c r="D434" s="56" t="s">
        <v>4</v>
      </c>
      <c r="E434" s="56">
        <v>48</v>
      </c>
      <c r="F434" s="57">
        <v>735</v>
      </c>
      <c r="G434" s="58">
        <f>0.38-0.145-0.14</f>
        <v>9.5000000000000001E-2</v>
      </c>
      <c r="H434" s="59" t="s">
        <v>195</v>
      </c>
      <c r="I434" s="43">
        <f t="shared" si="12"/>
        <v>414200</v>
      </c>
      <c r="J434" s="49">
        <f t="shared" si="13"/>
        <v>412200</v>
      </c>
      <c r="K434" s="60">
        <v>385200</v>
      </c>
      <c r="L434" s="3"/>
    </row>
    <row r="435" spans="2:12" ht="12" customHeight="1">
      <c r="B435" s="48">
        <v>430</v>
      </c>
      <c r="C435" s="56" t="s">
        <v>235</v>
      </c>
      <c r="D435" s="56" t="s">
        <v>4</v>
      </c>
      <c r="E435" s="56">
        <v>50</v>
      </c>
      <c r="F435" s="57">
        <v>750</v>
      </c>
      <c r="G435" s="58">
        <v>1.2E-2</v>
      </c>
      <c r="H435" s="59" t="s">
        <v>195</v>
      </c>
      <c r="I435" s="43">
        <f t="shared" si="12"/>
        <v>414200</v>
      </c>
      <c r="J435" s="49">
        <f t="shared" si="13"/>
        <v>412200</v>
      </c>
      <c r="K435" s="60">
        <v>385200</v>
      </c>
      <c r="L435" s="3"/>
    </row>
    <row r="436" spans="2:12" ht="12" customHeight="1">
      <c r="B436" s="48">
        <v>431</v>
      </c>
      <c r="C436" s="56" t="s">
        <v>235</v>
      </c>
      <c r="D436" s="56" t="s">
        <v>4</v>
      </c>
      <c r="E436" s="56">
        <v>53</v>
      </c>
      <c r="F436" s="57">
        <v>730</v>
      </c>
      <c r="G436" s="58">
        <v>0.115</v>
      </c>
      <c r="H436" s="59" t="s">
        <v>195</v>
      </c>
      <c r="I436" s="43">
        <f t="shared" si="12"/>
        <v>414200</v>
      </c>
      <c r="J436" s="49">
        <f t="shared" si="13"/>
        <v>412200</v>
      </c>
      <c r="K436" s="60">
        <v>385200</v>
      </c>
      <c r="L436" s="3"/>
    </row>
    <row r="437" spans="2:12" ht="12" customHeight="1">
      <c r="B437" s="48">
        <v>432</v>
      </c>
      <c r="C437" s="56" t="s">
        <v>235</v>
      </c>
      <c r="D437" s="56" t="s">
        <v>4</v>
      </c>
      <c r="E437" s="56">
        <v>55</v>
      </c>
      <c r="F437" s="57">
        <v>2210</v>
      </c>
      <c r="G437" s="58">
        <v>4.1000000000000002E-2</v>
      </c>
      <c r="H437" s="59" t="s">
        <v>195</v>
      </c>
      <c r="I437" s="43">
        <f t="shared" si="12"/>
        <v>414200</v>
      </c>
      <c r="J437" s="49">
        <f t="shared" si="13"/>
        <v>412200</v>
      </c>
      <c r="K437" s="60">
        <v>385200</v>
      </c>
      <c r="L437" s="3"/>
    </row>
    <row r="438" spans="2:12" ht="12" customHeight="1">
      <c r="B438" s="48">
        <v>433</v>
      </c>
      <c r="C438" s="56" t="s">
        <v>235</v>
      </c>
      <c r="D438" s="56" t="s">
        <v>4</v>
      </c>
      <c r="E438" s="56">
        <v>60</v>
      </c>
      <c r="F438" s="57">
        <v>760</v>
      </c>
      <c r="G438" s="58">
        <v>0.13</v>
      </c>
      <c r="H438" s="59" t="s">
        <v>195</v>
      </c>
      <c r="I438" s="43">
        <f t="shared" si="12"/>
        <v>414200</v>
      </c>
      <c r="J438" s="49">
        <f t="shared" si="13"/>
        <v>412200</v>
      </c>
      <c r="K438" s="60">
        <v>385200</v>
      </c>
      <c r="L438" s="3"/>
    </row>
    <row r="439" spans="2:12" ht="12" customHeight="1">
      <c r="B439" s="48">
        <v>434</v>
      </c>
      <c r="C439" s="56" t="s">
        <v>235</v>
      </c>
      <c r="D439" s="56" t="s">
        <v>4</v>
      </c>
      <c r="E439" s="56">
        <v>65</v>
      </c>
      <c r="F439" s="57">
        <v>2482</v>
      </c>
      <c r="G439" s="58">
        <v>6.4000000000000001E-2</v>
      </c>
      <c r="H439" s="59" t="s">
        <v>280</v>
      </c>
      <c r="I439" s="43">
        <f t="shared" si="12"/>
        <v>414200</v>
      </c>
      <c r="J439" s="49">
        <f t="shared" si="13"/>
        <v>412200</v>
      </c>
      <c r="K439" s="60">
        <v>385200</v>
      </c>
      <c r="L439" s="3"/>
    </row>
    <row r="440" spans="2:12" ht="12" customHeight="1">
      <c r="B440" s="48">
        <v>435</v>
      </c>
      <c r="C440" s="56" t="s">
        <v>235</v>
      </c>
      <c r="D440" s="56" t="s">
        <v>4</v>
      </c>
      <c r="E440" s="56">
        <v>70</v>
      </c>
      <c r="F440" s="57">
        <v>2010</v>
      </c>
      <c r="G440" s="58">
        <v>0.06</v>
      </c>
      <c r="H440" s="59" t="s">
        <v>218</v>
      </c>
      <c r="I440" s="43">
        <f t="shared" si="12"/>
        <v>414200</v>
      </c>
      <c r="J440" s="49">
        <f t="shared" si="13"/>
        <v>412200</v>
      </c>
      <c r="K440" s="60">
        <v>385200</v>
      </c>
      <c r="L440" s="3"/>
    </row>
    <row r="441" spans="2:12" ht="12" customHeight="1">
      <c r="B441" s="48">
        <v>436</v>
      </c>
      <c r="C441" s="56" t="s">
        <v>235</v>
      </c>
      <c r="D441" s="56" t="s">
        <v>4</v>
      </c>
      <c r="E441" s="56">
        <v>75</v>
      </c>
      <c r="F441" s="57">
        <v>680</v>
      </c>
      <c r="G441" s="58">
        <f>0.795-0.09-0.122</f>
        <v>0.58300000000000007</v>
      </c>
      <c r="H441" s="59" t="s">
        <v>195</v>
      </c>
      <c r="I441" s="43">
        <f t="shared" si="12"/>
        <v>414200</v>
      </c>
      <c r="J441" s="49">
        <f t="shared" si="13"/>
        <v>412200</v>
      </c>
      <c r="K441" s="60">
        <v>385200</v>
      </c>
      <c r="L441" s="3"/>
    </row>
    <row r="442" spans="2:12" ht="12" customHeight="1">
      <c r="B442" s="48">
        <v>437</v>
      </c>
      <c r="C442" s="56" t="s">
        <v>235</v>
      </c>
      <c r="D442" s="56" t="s">
        <v>4</v>
      </c>
      <c r="E442" s="56">
        <v>80</v>
      </c>
      <c r="F442" s="57">
        <v>3120</v>
      </c>
      <c r="G442" s="58">
        <f>1.008-0.125-0.646-0.11</f>
        <v>0.127</v>
      </c>
      <c r="H442" s="59" t="s">
        <v>280</v>
      </c>
      <c r="I442" s="43">
        <f t="shared" si="12"/>
        <v>414200</v>
      </c>
      <c r="J442" s="49">
        <f t="shared" si="13"/>
        <v>412200</v>
      </c>
      <c r="K442" s="60">
        <v>385200</v>
      </c>
      <c r="L442" s="3"/>
    </row>
    <row r="443" spans="2:12" ht="12" customHeight="1">
      <c r="B443" s="48">
        <v>438</v>
      </c>
      <c r="C443" s="56" t="s">
        <v>235</v>
      </c>
      <c r="D443" s="56" t="s">
        <v>4</v>
      </c>
      <c r="E443" s="56">
        <v>80</v>
      </c>
      <c r="F443" s="57">
        <v>3100</v>
      </c>
      <c r="G443" s="58">
        <v>1.792</v>
      </c>
      <c r="H443" s="59" t="s">
        <v>280</v>
      </c>
      <c r="I443" s="43">
        <f t="shared" si="12"/>
        <v>414200</v>
      </c>
      <c r="J443" s="49">
        <f t="shared" si="13"/>
        <v>412200</v>
      </c>
      <c r="K443" s="60">
        <v>385200</v>
      </c>
      <c r="L443" s="3"/>
    </row>
    <row r="444" spans="2:12" ht="12" customHeight="1">
      <c r="B444" s="48">
        <v>439</v>
      </c>
      <c r="C444" s="56" t="s">
        <v>235</v>
      </c>
      <c r="D444" s="56" t="s">
        <v>4</v>
      </c>
      <c r="E444" s="56">
        <v>85</v>
      </c>
      <c r="F444" s="57">
        <v>2275</v>
      </c>
      <c r="G444" s="58">
        <v>0.105</v>
      </c>
      <c r="H444" s="59" t="s">
        <v>195</v>
      </c>
      <c r="I444" s="43">
        <f t="shared" si="12"/>
        <v>414200</v>
      </c>
      <c r="J444" s="49">
        <f t="shared" si="13"/>
        <v>412200</v>
      </c>
      <c r="K444" s="60">
        <v>385200</v>
      </c>
      <c r="L444" s="3"/>
    </row>
    <row r="445" spans="2:12" ht="12" customHeight="1">
      <c r="B445" s="48">
        <v>440</v>
      </c>
      <c r="C445" s="56" t="s">
        <v>235</v>
      </c>
      <c r="D445" s="56" t="s">
        <v>4</v>
      </c>
      <c r="E445" s="56">
        <v>95</v>
      </c>
      <c r="F445" s="57">
        <v>595</v>
      </c>
      <c r="G445" s="58">
        <v>3.3000000000000002E-2</v>
      </c>
      <c r="H445" s="59" t="s">
        <v>195</v>
      </c>
      <c r="I445" s="43">
        <f t="shared" si="12"/>
        <v>414200</v>
      </c>
      <c r="J445" s="49">
        <f t="shared" si="13"/>
        <v>412200</v>
      </c>
      <c r="K445" s="60">
        <v>385200</v>
      </c>
      <c r="L445" s="3"/>
    </row>
    <row r="446" spans="2:12" ht="12" customHeight="1">
      <c r="B446" s="48">
        <v>441</v>
      </c>
      <c r="C446" s="56" t="s">
        <v>235</v>
      </c>
      <c r="D446" s="56" t="s">
        <v>4</v>
      </c>
      <c r="E446" s="56">
        <v>100</v>
      </c>
      <c r="F446" s="57">
        <v>3455</v>
      </c>
      <c r="G446" s="58">
        <v>0.42399999999999999</v>
      </c>
      <c r="H446" s="59" t="s">
        <v>280</v>
      </c>
      <c r="I446" s="43">
        <f t="shared" si="12"/>
        <v>414200</v>
      </c>
      <c r="J446" s="49">
        <f t="shared" si="13"/>
        <v>412200</v>
      </c>
      <c r="K446" s="60">
        <v>385200</v>
      </c>
      <c r="L446" s="3"/>
    </row>
    <row r="447" spans="2:12" ht="12" customHeight="1">
      <c r="B447" s="48">
        <v>442</v>
      </c>
      <c r="C447" s="56" t="s">
        <v>235</v>
      </c>
      <c r="D447" s="56" t="s">
        <v>4</v>
      </c>
      <c r="E447" s="56">
        <v>100</v>
      </c>
      <c r="F447" s="57">
        <v>5470</v>
      </c>
      <c r="G447" s="58">
        <v>0.33500000000000002</v>
      </c>
      <c r="H447" s="59" t="s">
        <v>279</v>
      </c>
      <c r="I447" s="43">
        <f t="shared" si="12"/>
        <v>414200</v>
      </c>
      <c r="J447" s="49">
        <f t="shared" si="13"/>
        <v>412200</v>
      </c>
      <c r="K447" s="60">
        <v>385200</v>
      </c>
      <c r="L447" s="3"/>
    </row>
    <row r="448" spans="2:12" ht="12" customHeight="1">
      <c r="B448" s="48">
        <v>443</v>
      </c>
      <c r="C448" s="56" t="s">
        <v>235</v>
      </c>
      <c r="D448" s="56" t="s">
        <v>4</v>
      </c>
      <c r="E448" s="56">
        <v>110</v>
      </c>
      <c r="F448" s="57">
        <v>2681</v>
      </c>
      <c r="G448" s="58">
        <v>0.19700000000000001</v>
      </c>
      <c r="H448" s="59" t="s">
        <v>195</v>
      </c>
      <c r="I448" s="43">
        <f t="shared" si="12"/>
        <v>414200</v>
      </c>
      <c r="J448" s="49">
        <f t="shared" si="13"/>
        <v>412200</v>
      </c>
      <c r="K448" s="60">
        <v>385200</v>
      </c>
      <c r="L448" s="3"/>
    </row>
    <row r="449" spans="2:12" ht="12" customHeight="1">
      <c r="B449" s="48">
        <v>444</v>
      </c>
      <c r="C449" s="56" t="s">
        <v>235</v>
      </c>
      <c r="D449" s="56" t="s">
        <v>4</v>
      </c>
      <c r="E449" s="56">
        <v>120</v>
      </c>
      <c r="F449" s="57">
        <v>2600</v>
      </c>
      <c r="G449" s="58">
        <v>2.2480000000000002</v>
      </c>
      <c r="H449" s="59" t="s">
        <v>280</v>
      </c>
      <c r="I449" s="43">
        <f t="shared" si="12"/>
        <v>414200</v>
      </c>
      <c r="J449" s="49">
        <f t="shared" si="13"/>
        <v>412200</v>
      </c>
      <c r="K449" s="60">
        <v>385200</v>
      </c>
      <c r="L449" s="3"/>
    </row>
    <row r="450" spans="2:12" ht="12" customHeight="1">
      <c r="B450" s="48">
        <v>445</v>
      </c>
      <c r="C450" s="56" t="s">
        <v>235</v>
      </c>
      <c r="D450" s="56" t="s">
        <v>4</v>
      </c>
      <c r="E450" s="56">
        <v>120</v>
      </c>
      <c r="F450" s="57">
        <v>540</v>
      </c>
      <c r="G450" s="58">
        <v>4.8000000000000001E-2</v>
      </c>
      <c r="H450" s="59" t="s">
        <v>195</v>
      </c>
      <c r="I450" s="43">
        <f t="shared" si="12"/>
        <v>414200</v>
      </c>
      <c r="J450" s="49">
        <f t="shared" si="13"/>
        <v>412200</v>
      </c>
      <c r="K450" s="60">
        <v>385200</v>
      </c>
      <c r="L450" s="3"/>
    </row>
    <row r="451" spans="2:12" ht="12" customHeight="1">
      <c r="B451" s="48">
        <v>446</v>
      </c>
      <c r="C451" s="56" t="s">
        <v>235</v>
      </c>
      <c r="D451" s="56" t="s">
        <v>4</v>
      </c>
      <c r="E451" s="56">
        <v>120</v>
      </c>
      <c r="F451" s="57">
        <v>950</v>
      </c>
      <c r="G451" s="58">
        <v>8.4000000000000005E-2</v>
      </c>
      <c r="H451" s="59" t="s">
        <v>195</v>
      </c>
      <c r="I451" s="43">
        <f t="shared" si="12"/>
        <v>414200</v>
      </c>
      <c r="J451" s="49">
        <f t="shared" si="13"/>
        <v>412200</v>
      </c>
      <c r="K451" s="60">
        <v>385200</v>
      </c>
      <c r="L451" s="3"/>
    </row>
    <row r="452" spans="2:12" ht="12" customHeight="1">
      <c r="B452" s="48">
        <v>447</v>
      </c>
      <c r="C452" s="56" t="s">
        <v>235</v>
      </c>
      <c r="D452" s="56" t="s">
        <v>4</v>
      </c>
      <c r="E452" s="56">
        <v>120</v>
      </c>
      <c r="F452" s="57">
        <v>975</v>
      </c>
      <c r="G452" s="58">
        <v>8.5999999999999993E-2</v>
      </c>
      <c r="H452" s="59" t="s">
        <v>195</v>
      </c>
      <c r="I452" s="43">
        <f t="shared" si="12"/>
        <v>414200</v>
      </c>
      <c r="J452" s="49">
        <f t="shared" si="13"/>
        <v>412200</v>
      </c>
      <c r="K452" s="60">
        <v>385200</v>
      </c>
      <c r="L452" s="3"/>
    </row>
    <row r="453" spans="2:12" ht="12" customHeight="1">
      <c r="B453" s="48">
        <v>448</v>
      </c>
      <c r="C453" s="56" t="s">
        <v>235</v>
      </c>
      <c r="D453" s="56" t="s">
        <v>4</v>
      </c>
      <c r="E453" s="56">
        <v>120</v>
      </c>
      <c r="F453" s="57">
        <v>1010</v>
      </c>
      <c r="G453" s="58">
        <v>8.8999999999999996E-2</v>
      </c>
      <c r="H453" s="59" t="s">
        <v>195</v>
      </c>
      <c r="I453" s="43">
        <f t="shared" si="12"/>
        <v>414200</v>
      </c>
      <c r="J453" s="49">
        <f t="shared" si="13"/>
        <v>412200</v>
      </c>
      <c r="K453" s="60">
        <v>385200</v>
      </c>
      <c r="L453" s="3"/>
    </row>
    <row r="454" spans="2:12" ht="12" customHeight="1">
      <c r="B454" s="48">
        <v>449</v>
      </c>
      <c r="C454" s="56" t="s">
        <v>235</v>
      </c>
      <c r="D454" s="56" t="s">
        <v>4</v>
      </c>
      <c r="E454" s="56">
        <v>120</v>
      </c>
      <c r="F454" s="57">
        <v>1130</v>
      </c>
      <c r="G454" s="58">
        <f>0.1</f>
        <v>0.1</v>
      </c>
      <c r="H454" s="59" t="s">
        <v>195</v>
      </c>
      <c r="I454" s="43">
        <f t="shared" ref="I454:I517" si="14">J454+2000</f>
        <v>414200</v>
      </c>
      <c r="J454" s="49">
        <f t="shared" si="13"/>
        <v>412200</v>
      </c>
      <c r="K454" s="60">
        <v>385200</v>
      </c>
      <c r="L454" s="3"/>
    </row>
    <row r="455" spans="2:12" ht="12" customHeight="1">
      <c r="B455" s="48">
        <v>450</v>
      </c>
      <c r="C455" s="56" t="s">
        <v>235</v>
      </c>
      <c r="D455" s="56" t="s">
        <v>4</v>
      </c>
      <c r="E455" s="56">
        <v>120</v>
      </c>
      <c r="F455" s="57">
        <v>1240</v>
      </c>
      <c r="G455" s="58">
        <v>0.11</v>
      </c>
      <c r="H455" s="59" t="s">
        <v>195</v>
      </c>
      <c r="I455" s="43">
        <f t="shared" si="14"/>
        <v>414200</v>
      </c>
      <c r="J455" s="49">
        <f t="shared" ref="J455:J518" si="15">ROUNDUP(K455*1.07,-2)</f>
        <v>412200</v>
      </c>
      <c r="K455" s="60">
        <v>385200</v>
      </c>
      <c r="L455" s="3"/>
    </row>
    <row r="456" spans="2:12" ht="12" customHeight="1">
      <c r="B456" s="48">
        <v>451</v>
      </c>
      <c r="C456" s="56" t="s">
        <v>235</v>
      </c>
      <c r="D456" s="56" t="s">
        <v>4</v>
      </c>
      <c r="E456" s="56">
        <v>125</v>
      </c>
      <c r="F456" s="57">
        <v>110</v>
      </c>
      <c r="G456" s="58">
        <v>0.01</v>
      </c>
      <c r="H456" s="59" t="s">
        <v>195</v>
      </c>
      <c r="I456" s="43">
        <f t="shared" si="14"/>
        <v>414200</v>
      </c>
      <c r="J456" s="49">
        <f t="shared" si="15"/>
        <v>412200</v>
      </c>
      <c r="K456" s="60">
        <v>385200</v>
      </c>
      <c r="L456" s="3"/>
    </row>
    <row r="457" spans="2:12" ht="12" customHeight="1">
      <c r="B457" s="48">
        <v>452</v>
      </c>
      <c r="C457" s="56" t="s">
        <v>235</v>
      </c>
      <c r="D457" s="56" t="s">
        <v>4</v>
      </c>
      <c r="E457" s="56">
        <v>125</v>
      </c>
      <c r="F457" s="57">
        <v>1310</v>
      </c>
      <c r="G457" s="58">
        <f>0.125+0.125+0.13+0.12+0.135</f>
        <v>0.63500000000000001</v>
      </c>
      <c r="H457" s="59" t="s">
        <v>257</v>
      </c>
      <c r="I457" s="43">
        <f t="shared" si="14"/>
        <v>414200</v>
      </c>
      <c r="J457" s="49">
        <f t="shared" si="15"/>
        <v>412200</v>
      </c>
      <c r="K457" s="60">
        <v>385200</v>
      </c>
      <c r="L457" s="3"/>
    </row>
    <row r="458" spans="2:12" ht="12" customHeight="1">
      <c r="B458" s="48">
        <v>453</v>
      </c>
      <c r="C458" s="56" t="s">
        <v>235</v>
      </c>
      <c r="D458" s="56" t="s">
        <v>4</v>
      </c>
      <c r="E458" s="56">
        <v>128</v>
      </c>
      <c r="F458" s="57">
        <v>230</v>
      </c>
      <c r="G458" s="58">
        <v>2.1999999999999999E-2</v>
      </c>
      <c r="H458" s="59" t="s">
        <v>260</v>
      </c>
      <c r="I458" s="43">
        <f t="shared" si="14"/>
        <v>414200</v>
      </c>
      <c r="J458" s="49">
        <f t="shared" si="15"/>
        <v>412200</v>
      </c>
      <c r="K458" s="60">
        <v>385200</v>
      </c>
      <c r="L458" s="3"/>
    </row>
    <row r="459" spans="2:12" ht="12" customHeight="1">
      <c r="B459" s="48">
        <v>454</v>
      </c>
      <c r="C459" s="56" t="s">
        <v>235</v>
      </c>
      <c r="D459" s="56" t="s">
        <v>4</v>
      </c>
      <c r="E459" s="56">
        <v>130</v>
      </c>
      <c r="F459" s="57">
        <v>85</v>
      </c>
      <c r="G459" s="58">
        <v>8.9999999999999993E-3</v>
      </c>
      <c r="H459" s="59" t="s">
        <v>195</v>
      </c>
      <c r="I459" s="43">
        <f t="shared" si="14"/>
        <v>414200</v>
      </c>
      <c r="J459" s="49">
        <f t="shared" si="15"/>
        <v>412200</v>
      </c>
      <c r="K459" s="60">
        <v>385200</v>
      </c>
      <c r="L459" s="3"/>
    </row>
    <row r="460" spans="2:12" ht="12" customHeight="1">
      <c r="B460" s="48">
        <v>455</v>
      </c>
      <c r="C460" s="56" t="s">
        <v>235</v>
      </c>
      <c r="D460" s="56" t="s">
        <v>4</v>
      </c>
      <c r="E460" s="56">
        <v>130</v>
      </c>
      <c r="F460" s="57">
        <v>290</v>
      </c>
      <c r="G460" s="58">
        <v>2.9000000000000001E-2</v>
      </c>
      <c r="H460" s="59" t="s">
        <v>195</v>
      </c>
      <c r="I460" s="43">
        <f t="shared" si="14"/>
        <v>414200</v>
      </c>
      <c r="J460" s="49">
        <f t="shared" si="15"/>
        <v>412200</v>
      </c>
      <c r="K460" s="60">
        <v>385200</v>
      </c>
      <c r="L460" s="3"/>
    </row>
    <row r="461" spans="2:12" ht="12" customHeight="1">
      <c r="B461" s="48">
        <v>456</v>
      </c>
      <c r="C461" s="56" t="s">
        <v>235</v>
      </c>
      <c r="D461" s="56" t="s">
        <v>4</v>
      </c>
      <c r="E461" s="56">
        <v>130</v>
      </c>
      <c r="F461" s="57">
        <v>1955</v>
      </c>
      <c r="G461" s="58">
        <v>0.20300000000000001</v>
      </c>
      <c r="H461" s="59" t="s">
        <v>195</v>
      </c>
      <c r="I461" s="43">
        <f t="shared" si="14"/>
        <v>414200</v>
      </c>
      <c r="J461" s="49">
        <f t="shared" si="15"/>
        <v>412200</v>
      </c>
      <c r="K461" s="60">
        <v>385200</v>
      </c>
      <c r="L461" s="3"/>
    </row>
    <row r="462" spans="2:12" ht="12" customHeight="1">
      <c r="B462" s="48">
        <v>457</v>
      </c>
      <c r="C462" s="56" t="s">
        <v>235</v>
      </c>
      <c r="D462" s="56" t="s">
        <v>4</v>
      </c>
      <c r="E462" s="56">
        <v>130</v>
      </c>
      <c r="F462" s="57">
        <v>3965</v>
      </c>
      <c r="G462" s="58">
        <v>0.40699999999999997</v>
      </c>
      <c r="H462" s="59" t="s">
        <v>195</v>
      </c>
      <c r="I462" s="43">
        <f t="shared" si="14"/>
        <v>414200</v>
      </c>
      <c r="J462" s="49">
        <f t="shared" si="15"/>
        <v>412200</v>
      </c>
      <c r="K462" s="60">
        <v>385200</v>
      </c>
      <c r="L462" s="3"/>
    </row>
    <row r="463" spans="2:12" ht="12" customHeight="1">
      <c r="B463" s="48">
        <v>458</v>
      </c>
      <c r="C463" s="56" t="s">
        <v>235</v>
      </c>
      <c r="D463" s="56" t="s">
        <v>4</v>
      </c>
      <c r="E463" s="56">
        <v>130</v>
      </c>
      <c r="F463" s="57">
        <v>4385</v>
      </c>
      <c r="G463" s="58">
        <v>0.45</v>
      </c>
      <c r="H463" s="59" t="s">
        <v>195</v>
      </c>
      <c r="I463" s="43">
        <f t="shared" si="14"/>
        <v>414200</v>
      </c>
      <c r="J463" s="49">
        <f t="shared" si="15"/>
        <v>412200</v>
      </c>
      <c r="K463" s="60">
        <v>385200</v>
      </c>
      <c r="L463" s="3"/>
    </row>
    <row r="464" spans="2:12" ht="12" customHeight="1">
      <c r="B464" s="48">
        <v>459</v>
      </c>
      <c r="C464" s="56" t="s">
        <v>235</v>
      </c>
      <c r="D464" s="56" t="s">
        <v>4</v>
      </c>
      <c r="E464" s="56">
        <v>155</v>
      </c>
      <c r="F464" s="57">
        <v>650</v>
      </c>
      <c r="G464" s="58">
        <v>9.6000000000000002E-2</v>
      </c>
      <c r="H464" s="59" t="s">
        <v>195</v>
      </c>
      <c r="I464" s="43">
        <f t="shared" si="14"/>
        <v>414200</v>
      </c>
      <c r="J464" s="49">
        <f t="shared" si="15"/>
        <v>412200</v>
      </c>
      <c r="K464" s="60">
        <v>385200</v>
      </c>
      <c r="L464" s="5"/>
    </row>
    <row r="465" spans="2:12" ht="12" customHeight="1">
      <c r="B465" s="48">
        <v>460</v>
      </c>
      <c r="C465" s="56" t="s">
        <v>235</v>
      </c>
      <c r="D465" s="56" t="s">
        <v>4</v>
      </c>
      <c r="E465" s="56">
        <v>160</v>
      </c>
      <c r="F465" s="57">
        <v>2150</v>
      </c>
      <c r="G465" s="58">
        <v>0.33500000000000002</v>
      </c>
      <c r="H465" s="59" t="s">
        <v>195</v>
      </c>
      <c r="I465" s="43">
        <f t="shared" si="14"/>
        <v>414200</v>
      </c>
      <c r="J465" s="49">
        <f t="shared" si="15"/>
        <v>412200</v>
      </c>
      <c r="K465" s="60">
        <v>385200</v>
      </c>
      <c r="L465" s="3"/>
    </row>
    <row r="466" spans="2:12" ht="12" customHeight="1">
      <c r="B466" s="48">
        <v>461</v>
      </c>
      <c r="C466" s="56" t="s">
        <v>235</v>
      </c>
      <c r="D466" s="56" t="s">
        <v>4</v>
      </c>
      <c r="E466" s="56">
        <v>195</v>
      </c>
      <c r="F466" s="57">
        <v>150</v>
      </c>
      <c r="G466" s="58">
        <v>3.7999999999999999E-2</v>
      </c>
      <c r="H466" s="59" t="s">
        <v>195</v>
      </c>
      <c r="I466" s="43">
        <f t="shared" si="14"/>
        <v>414200</v>
      </c>
      <c r="J466" s="49">
        <f t="shared" si="15"/>
        <v>412200</v>
      </c>
      <c r="K466" s="60">
        <v>385200</v>
      </c>
      <c r="L466" s="3"/>
    </row>
    <row r="467" spans="2:12" ht="12" customHeight="1">
      <c r="B467" s="48">
        <v>462</v>
      </c>
      <c r="C467" s="56" t="s">
        <v>55</v>
      </c>
      <c r="D467" s="56" t="s">
        <v>4</v>
      </c>
      <c r="E467" s="56">
        <v>28</v>
      </c>
      <c r="F467" s="57">
        <v>1035</v>
      </c>
      <c r="G467" s="58">
        <v>5.0000000000000001E-3</v>
      </c>
      <c r="H467" s="59"/>
      <c r="I467" s="43">
        <f t="shared" si="14"/>
        <v>82200</v>
      </c>
      <c r="J467" s="49">
        <f t="shared" si="15"/>
        <v>80200</v>
      </c>
      <c r="K467" s="60">
        <v>74900</v>
      </c>
      <c r="L467" s="3"/>
    </row>
    <row r="468" spans="2:12" ht="12" customHeight="1">
      <c r="B468" s="48">
        <v>463</v>
      </c>
      <c r="C468" s="56" t="s">
        <v>55</v>
      </c>
      <c r="D468" s="56" t="s">
        <v>4</v>
      </c>
      <c r="E468" s="56">
        <v>30</v>
      </c>
      <c r="F468" s="57">
        <v>5570</v>
      </c>
      <c r="G468" s="58">
        <f>0.063-0.033</f>
        <v>0.03</v>
      </c>
      <c r="H468" s="59" t="s">
        <v>195</v>
      </c>
      <c r="I468" s="43">
        <f t="shared" si="14"/>
        <v>82200</v>
      </c>
      <c r="J468" s="49">
        <f t="shared" si="15"/>
        <v>80200</v>
      </c>
      <c r="K468" s="60">
        <v>74900</v>
      </c>
      <c r="L468" s="3"/>
    </row>
    <row r="469" spans="2:12" ht="12" customHeight="1">
      <c r="B469" s="48">
        <v>464</v>
      </c>
      <c r="C469" s="56" t="s">
        <v>55</v>
      </c>
      <c r="D469" s="56" t="s">
        <v>4</v>
      </c>
      <c r="E469" s="56">
        <v>75</v>
      </c>
      <c r="F469" s="57">
        <v>3850</v>
      </c>
      <c r="G469" s="58">
        <v>0.13300000000000001</v>
      </c>
      <c r="H469" s="59" t="s">
        <v>195</v>
      </c>
      <c r="I469" s="43">
        <f t="shared" si="14"/>
        <v>82200</v>
      </c>
      <c r="J469" s="49">
        <f t="shared" si="15"/>
        <v>80200</v>
      </c>
      <c r="K469" s="60">
        <v>74900</v>
      </c>
      <c r="L469" s="3"/>
    </row>
    <row r="470" spans="2:12" ht="12" customHeight="1">
      <c r="B470" s="48">
        <v>465</v>
      </c>
      <c r="C470" s="56" t="s">
        <v>56</v>
      </c>
      <c r="D470" s="56" t="s">
        <v>4</v>
      </c>
      <c r="E470" s="56">
        <v>38</v>
      </c>
      <c r="F470" s="57">
        <v>3280</v>
      </c>
      <c r="G470" s="58">
        <v>2.9000000000000001E-2</v>
      </c>
      <c r="H470" s="59" t="s">
        <v>195</v>
      </c>
      <c r="I470" s="43">
        <f t="shared" si="14"/>
        <v>82200</v>
      </c>
      <c r="J470" s="49">
        <f t="shared" si="15"/>
        <v>80200</v>
      </c>
      <c r="K470" s="60">
        <v>74900</v>
      </c>
      <c r="L470" s="3"/>
    </row>
    <row r="471" spans="2:12" ht="12" customHeight="1">
      <c r="B471" s="48">
        <v>466</v>
      </c>
      <c r="C471" s="56" t="s">
        <v>56</v>
      </c>
      <c r="D471" s="56" t="s">
        <v>4</v>
      </c>
      <c r="E471" s="56">
        <v>38</v>
      </c>
      <c r="F471" s="57">
        <v>5160</v>
      </c>
      <c r="G471" s="58">
        <v>0.35</v>
      </c>
      <c r="H471" s="59" t="s">
        <v>195</v>
      </c>
      <c r="I471" s="43">
        <f t="shared" si="14"/>
        <v>82200</v>
      </c>
      <c r="J471" s="49">
        <f t="shared" si="15"/>
        <v>80200</v>
      </c>
      <c r="K471" s="60">
        <v>74900</v>
      </c>
      <c r="L471" s="3"/>
    </row>
    <row r="472" spans="2:12" ht="12" customHeight="1">
      <c r="B472" s="48">
        <v>467</v>
      </c>
      <c r="C472" s="56" t="s">
        <v>56</v>
      </c>
      <c r="D472" s="56" t="s">
        <v>4</v>
      </c>
      <c r="E472" s="56">
        <v>40</v>
      </c>
      <c r="F472" s="57">
        <v>4900</v>
      </c>
      <c r="G472" s="58">
        <v>0.245</v>
      </c>
      <c r="H472" s="59" t="s">
        <v>195</v>
      </c>
      <c r="I472" s="43">
        <f t="shared" si="14"/>
        <v>82200</v>
      </c>
      <c r="J472" s="49">
        <f t="shared" si="15"/>
        <v>80200</v>
      </c>
      <c r="K472" s="60">
        <v>74900</v>
      </c>
      <c r="L472" s="3"/>
    </row>
    <row r="473" spans="2:12" ht="12" customHeight="1">
      <c r="B473" s="48">
        <v>468</v>
      </c>
      <c r="C473" s="56" t="s">
        <v>56</v>
      </c>
      <c r="D473" s="56" t="s">
        <v>4</v>
      </c>
      <c r="E473" s="56">
        <v>40</v>
      </c>
      <c r="F473" s="57">
        <v>4100</v>
      </c>
      <c r="G473" s="58">
        <f>0.565-0.135</f>
        <v>0.42999999999999994</v>
      </c>
      <c r="H473" s="59" t="s">
        <v>195</v>
      </c>
      <c r="I473" s="43">
        <f t="shared" si="14"/>
        <v>82200</v>
      </c>
      <c r="J473" s="49">
        <f t="shared" si="15"/>
        <v>80200</v>
      </c>
      <c r="K473" s="60">
        <v>74900</v>
      </c>
      <c r="L473" s="3"/>
    </row>
    <row r="474" spans="2:12" ht="12" customHeight="1">
      <c r="B474" s="48">
        <v>469</v>
      </c>
      <c r="C474" s="56" t="s">
        <v>56</v>
      </c>
      <c r="D474" s="56" t="s">
        <v>4</v>
      </c>
      <c r="E474" s="56">
        <v>45</v>
      </c>
      <c r="F474" s="57">
        <v>2700</v>
      </c>
      <c r="G474" s="58">
        <v>3.3000000000000002E-2</v>
      </c>
      <c r="H474" s="59" t="s">
        <v>195</v>
      </c>
      <c r="I474" s="43">
        <f t="shared" si="14"/>
        <v>82200</v>
      </c>
      <c r="J474" s="49">
        <f t="shared" si="15"/>
        <v>80200</v>
      </c>
      <c r="K474" s="60">
        <v>74900</v>
      </c>
      <c r="L474" s="3"/>
    </row>
    <row r="475" spans="2:12" ht="12" customHeight="1">
      <c r="B475" s="48">
        <v>470</v>
      </c>
      <c r="C475" s="56" t="s">
        <v>56</v>
      </c>
      <c r="D475" s="56" t="s">
        <v>4</v>
      </c>
      <c r="E475" s="56">
        <v>45</v>
      </c>
      <c r="F475" s="57">
        <v>4675</v>
      </c>
      <c r="G475" s="58">
        <f>1.39-0.15</f>
        <v>1.24</v>
      </c>
      <c r="H475" s="59" t="s">
        <v>195</v>
      </c>
      <c r="I475" s="43">
        <f t="shared" si="14"/>
        <v>82200</v>
      </c>
      <c r="J475" s="49">
        <f t="shared" si="15"/>
        <v>80200</v>
      </c>
      <c r="K475" s="60">
        <v>74900</v>
      </c>
      <c r="L475" s="3"/>
    </row>
    <row r="476" spans="2:12" ht="12" customHeight="1">
      <c r="B476" s="48">
        <v>471</v>
      </c>
      <c r="C476" s="56" t="s">
        <v>56</v>
      </c>
      <c r="D476" s="56" t="s">
        <v>4</v>
      </c>
      <c r="E476" s="56">
        <v>155</v>
      </c>
      <c r="F476" s="57">
        <v>2770</v>
      </c>
      <c r="G476" s="58">
        <v>0.41099999999999998</v>
      </c>
      <c r="H476" s="59" t="s">
        <v>195</v>
      </c>
      <c r="I476" s="43">
        <f t="shared" si="14"/>
        <v>90200</v>
      </c>
      <c r="J476" s="49">
        <f t="shared" si="15"/>
        <v>88200</v>
      </c>
      <c r="K476" s="60">
        <v>82400</v>
      </c>
      <c r="L476"/>
    </row>
    <row r="477" spans="2:12" ht="12" customHeight="1">
      <c r="B477" s="48">
        <v>472</v>
      </c>
      <c r="C477" s="56" t="s">
        <v>56</v>
      </c>
      <c r="D477" s="56" t="s">
        <v>4</v>
      </c>
      <c r="E477" s="56">
        <v>155</v>
      </c>
      <c r="F477" s="57">
        <v>3010</v>
      </c>
      <c r="G477" s="58">
        <v>0.44600000000000001</v>
      </c>
      <c r="H477" s="59" t="s">
        <v>195</v>
      </c>
      <c r="I477" s="43">
        <f t="shared" si="14"/>
        <v>90200</v>
      </c>
      <c r="J477" s="49">
        <f t="shared" si="15"/>
        <v>88200</v>
      </c>
      <c r="K477" s="60">
        <v>82400</v>
      </c>
      <c r="L477" s="3"/>
    </row>
    <row r="478" spans="2:12" ht="12" customHeight="1">
      <c r="B478" s="48">
        <v>473</v>
      </c>
      <c r="C478" s="56" t="s">
        <v>56</v>
      </c>
      <c r="D478" s="56" t="s">
        <v>4</v>
      </c>
      <c r="E478" s="56">
        <v>155</v>
      </c>
      <c r="F478" s="57">
        <v>2850</v>
      </c>
      <c r="G478" s="58">
        <v>0.42299999999999999</v>
      </c>
      <c r="H478" s="59" t="s">
        <v>195</v>
      </c>
      <c r="I478" s="43">
        <f t="shared" si="14"/>
        <v>90200</v>
      </c>
      <c r="J478" s="49">
        <f t="shared" si="15"/>
        <v>88200</v>
      </c>
      <c r="K478" s="60">
        <v>82400</v>
      </c>
      <c r="L478" s="3"/>
    </row>
    <row r="479" spans="2:12" ht="12" customHeight="1">
      <c r="B479" s="48">
        <v>474</v>
      </c>
      <c r="C479" s="56" t="s">
        <v>56</v>
      </c>
      <c r="D479" s="56" t="s">
        <v>4</v>
      </c>
      <c r="E479" s="56">
        <v>160</v>
      </c>
      <c r="F479" s="57">
        <v>1600</v>
      </c>
      <c r="G479" s="58">
        <v>0.248</v>
      </c>
      <c r="H479" s="59" t="s">
        <v>6</v>
      </c>
      <c r="I479" s="43">
        <f t="shared" si="14"/>
        <v>90200</v>
      </c>
      <c r="J479" s="49">
        <f t="shared" si="15"/>
        <v>88200</v>
      </c>
      <c r="K479" s="60">
        <v>82400</v>
      </c>
      <c r="L479" s="3"/>
    </row>
    <row r="480" spans="2:12" ht="12" customHeight="1">
      <c r="B480" s="48">
        <v>475</v>
      </c>
      <c r="C480" s="56" t="s">
        <v>57</v>
      </c>
      <c r="D480" s="56" t="s">
        <v>4</v>
      </c>
      <c r="E480" s="56">
        <v>180</v>
      </c>
      <c r="F480" s="57">
        <v>3055</v>
      </c>
      <c r="G480" s="58">
        <v>0.62</v>
      </c>
      <c r="H480" s="59"/>
      <c r="I480" s="43">
        <f t="shared" si="14"/>
        <v>93600</v>
      </c>
      <c r="J480" s="49">
        <f t="shared" si="15"/>
        <v>91600</v>
      </c>
      <c r="K480" s="60">
        <v>85600</v>
      </c>
      <c r="L480" s="5"/>
    </row>
    <row r="481" spans="1:12" ht="12" customHeight="1">
      <c r="B481" s="48">
        <v>476</v>
      </c>
      <c r="C481" s="56" t="s">
        <v>58</v>
      </c>
      <c r="D481" s="56" t="s">
        <v>4</v>
      </c>
      <c r="E481" s="56">
        <v>32</v>
      </c>
      <c r="F481" s="57">
        <v>3040</v>
      </c>
      <c r="G481" s="58">
        <v>1.9E-2</v>
      </c>
      <c r="H481" s="59" t="s">
        <v>195</v>
      </c>
      <c r="I481" s="43">
        <f t="shared" si="14"/>
        <v>93600</v>
      </c>
      <c r="J481" s="49">
        <f t="shared" si="15"/>
        <v>91600</v>
      </c>
      <c r="K481" s="60">
        <v>85600</v>
      </c>
      <c r="L481" s="3"/>
    </row>
    <row r="482" spans="1:12" ht="12" customHeight="1">
      <c r="B482" s="48">
        <v>477</v>
      </c>
      <c r="C482" s="56" t="s">
        <v>231</v>
      </c>
      <c r="D482" s="56" t="s">
        <v>4</v>
      </c>
      <c r="E482" s="56">
        <v>100</v>
      </c>
      <c r="F482" s="57">
        <v>260</v>
      </c>
      <c r="G482" s="58">
        <v>1.6E-2</v>
      </c>
      <c r="H482" s="59" t="s">
        <v>195</v>
      </c>
      <c r="I482" s="43">
        <f t="shared" si="14"/>
        <v>185200</v>
      </c>
      <c r="J482" s="49">
        <f t="shared" si="15"/>
        <v>183200</v>
      </c>
      <c r="K482" s="60">
        <v>171200</v>
      </c>
      <c r="L482" s="3"/>
    </row>
    <row r="483" spans="1:12" ht="12" customHeight="1">
      <c r="B483" s="48">
        <v>478</v>
      </c>
      <c r="C483" s="56" t="s">
        <v>59</v>
      </c>
      <c r="D483" s="56" t="s">
        <v>4</v>
      </c>
      <c r="E483" s="56">
        <v>52</v>
      </c>
      <c r="F483" s="57">
        <v>2200</v>
      </c>
      <c r="G483" s="58">
        <f>0.648-0.126-0.315-0.065-0.069</f>
        <v>7.3000000000000009E-2</v>
      </c>
      <c r="H483" s="59" t="s">
        <v>195</v>
      </c>
      <c r="I483" s="43">
        <f t="shared" si="14"/>
        <v>82200</v>
      </c>
      <c r="J483" s="49">
        <f t="shared" si="15"/>
        <v>80200</v>
      </c>
      <c r="K483" s="60">
        <v>74900</v>
      </c>
      <c r="L483" s="3"/>
    </row>
    <row r="484" spans="1:12" ht="12" customHeight="1">
      <c r="B484" s="48">
        <v>479</v>
      </c>
      <c r="C484" s="56" t="s">
        <v>299</v>
      </c>
      <c r="D484" s="56" t="s">
        <v>4</v>
      </c>
      <c r="E484" s="56">
        <v>280</v>
      </c>
      <c r="F484" s="57">
        <v>940</v>
      </c>
      <c r="G484" s="58">
        <v>0.46</v>
      </c>
      <c r="H484" s="59" t="s">
        <v>195</v>
      </c>
      <c r="I484" s="43">
        <f t="shared" si="14"/>
        <v>110900</v>
      </c>
      <c r="J484" s="49">
        <f t="shared" si="15"/>
        <v>108900</v>
      </c>
      <c r="K484" s="60">
        <v>101700</v>
      </c>
      <c r="L484" s="3"/>
    </row>
    <row r="485" spans="1:12" ht="12" customHeight="1">
      <c r="B485" s="48">
        <v>480</v>
      </c>
      <c r="C485" s="56" t="s">
        <v>60</v>
      </c>
      <c r="D485" s="56" t="s">
        <v>4</v>
      </c>
      <c r="E485" s="56">
        <v>56</v>
      </c>
      <c r="F485" s="57">
        <v>2050</v>
      </c>
      <c r="G485" s="58">
        <v>0.04</v>
      </c>
      <c r="H485" s="59" t="s">
        <v>195</v>
      </c>
      <c r="I485" s="43">
        <f t="shared" si="14"/>
        <v>123300</v>
      </c>
      <c r="J485" s="49">
        <f t="shared" si="15"/>
        <v>121300</v>
      </c>
      <c r="K485" s="60">
        <v>113300</v>
      </c>
      <c r="L485" s="3"/>
    </row>
    <row r="486" spans="1:12" ht="12" customHeight="1">
      <c r="B486" s="48">
        <v>481</v>
      </c>
      <c r="C486" s="56" t="s">
        <v>61</v>
      </c>
      <c r="D486" s="56" t="s">
        <v>4</v>
      </c>
      <c r="E486" s="56">
        <v>30</v>
      </c>
      <c r="F486" s="57">
        <v>1690</v>
      </c>
      <c r="G486" s="58">
        <v>8.9999999999999993E-3</v>
      </c>
      <c r="H486" s="59" t="s">
        <v>195</v>
      </c>
      <c r="I486" s="43">
        <f t="shared" si="14"/>
        <v>213900</v>
      </c>
      <c r="J486" s="49">
        <f t="shared" si="15"/>
        <v>211900</v>
      </c>
      <c r="K486" s="60">
        <v>198000</v>
      </c>
      <c r="L486" s="3"/>
    </row>
    <row r="487" spans="1:12" ht="12" customHeight="1">
      <c r="B487" s="48">
        <v>482</v>
      </c>
      <c r="C487" s="56" t="s">
        <v>61</v>
      </c>
      <c r="D487" s="56" t="s">
        <v>4</v>
      </c>
      <c r="E487" s="56">
        <v>30</v>
      </c>
      <c r="F487" s="57">
        <v>1840</v>
      </c>
      <c r="G487" s="58">
        <v>0.01</v>
      </c>
      <c r="H487" s="59" t="s">
        <v>195</v>
      </c>
      <c r="I487" s="43">
        <f t="shared" si="14"/>
        <v>213900</v>
      </c>
      <c r="J487" s="49">
        <f t="shared" si="15"/>
        <v>211900</v>
      </c>
      <c r="K487" s="60">
        <v>198000</v>
      </c>
      <c r="L487" s="3"/>
    </row>
    <row r="488" spans="1:12" ht="12" customHeight="1">
      <c r="B488" s="48">
        <v>483</v>
      </c>
      <c r="C488" s="56" t="s">
        <v>61</v>
      </c>
      <c r="D488" s="56" t="s">
        <v>4</v>
      </c>
      <c r="E488" s="56">
        <v>40</v>
      </c>
      <c r="F488" s="57">
        <v>3070</v>
      </c>
      <c r="G488" s="58">
        <v>0.03</v>
      </c>
      <c r="H488" s="59" t="s">
        <v>195</v>
      </c>
      <c r="I488" s="43">
        <f t="shared" si="14"/>
        <v>213900</v>
      </c>
      <c r="J488" s="49">
        <f t="shared" si="15"/>
        <v>211900</v>
      </c>
      <c r="K488" s="60">
        <v>198000</v>
      </c>
      <c r="L488" s="3"/>
    </row>
    <row r="489" spans="1:12" ht="12" customHeight="1">
      <c r="B489" s="48">
        <v>484</v>
      </c>
      <c r="C489" s="56" t="s">
        <v>238</v>
      </c>
      <c r="D489" s="56" t="s">
        <v>4</v>
      </c>
      <c r="E489" s="56">
        <v>120</v>
      </c>
      <c r="F489" s="57">
        <v>1700</v>
      </c>
      <c r="G489" s="58">
        <f>8.424-0.635-0.635</f>
        <v>7.1539999999999999</v>
      </c>
      <c r="H489" s="59" t="s">
        <v>6</v>
      </c>
      <c r="I489" s="43">
        <f t="shared" si="14"/>
        <v>213900</v>
      </c>
      <c r="J489" s="49">
        <f t="shared" si="15"/>
        <v>211900</v>
      </c>
      <c r="K489" s="60">
        <v>198000</v>
      </c>
      <c r="L489" s="3"/>
    </row>
    <row r="490" spans="1:12" customFormat="1" ht="12" customHeight="1">
      <c r="A490" s="4"/>
      <c r="B490" s="48">
        <v>485</v>
      </c>
      <c r="C490" s="56" t="s">
        <v>263</v>
      </c>
      <c r="D490" s="56" t="s">
        <v>4</v>
      </c>
      <c r="E490" s="56">
        <v>150</v>
      </c>
      <c r="F490" s="57">
        <v>1815</v>
      </c>
      <c r="G490" s="58">
        <v>0.25</v>
      </c>
      <c r="H490" s="59" t="s">
        <v>195</v>
      </c>
      <c r="I490" s="43">
        <f t="shared" si="14"/>
        <v>90200</v>
      </c>
      <c r="J490" s="49">
        <f t="shared" si="15"/>
        <v>88200</v>
      </c>
      <c r="K490" s="60">
        <v>82400</v>
      </c>
      <c r="L490" s="3"/>
    </row>
    <row r="491" spans="1:12" customFormat="1" ht="12" customHeight="1">
      <c r="A491" s="4"/>
      <c r="B491" s="48">
        <v>486</v>
      </c>
      <c r="C491" s="56" t="s">
        <v>263</v>
      </c>
      <c r="D491" s="56" t="s">
        <v>4</v>
      </c>
      <c r="E491" s="56">
        <v>150</v>
      </c>
      <c r="F491" s="57">
        <v>1820</v>
      </c>
      <c r="G491" s="58">
        <v>0.251</v>
      </c>
      <c r="H491" s="59" t="s">
        <v>195</v>
      </c>
      <c r="I491" s="43">
        <f t="shared" si="14"/>
        <v>90200</v>
      </c>
      <c r="J491" s="49">
        <f t="shared" si="15"/>
        <v>88200</v>
      </c>
      <c r="K491" s="60">
        <v>82400</v>
      </c>
    </row>
    <row r="492" spans="1:12" customFormat="1" ht="12" customHeight="1">
      <c r="A492" s="4"/>
      <c r="B492" s="48">
        <v>487</v>
      </c>
      <c r="C492" s="56" t="s">
        <v>62</v>
      </c>
      <c r="D492" s="56" t="s">
        <v>4</v>
      </c>
      <c r="E492" s="56">
        <v>36</v>
      </c>
      <c r="F492" s="57">
        <v>2300</v>
      </c>
      <c r="G492" s="58">
        <f>0.295-0.21-0.063</f>
        <v>2.1999999999999992E-2</v>
      </c>
      <c r="H492" s="59"/>
      <c r="I492" s="43">
        <f t="shared" si="14"/>
        <v>77700</v>
      </c>
      <c r="J492" s="49">
        <f t="shared" si="15"/>
        <v>75700</v>
      </c>
      <c r="K492" s="60">
        <v>70700</v>
      </c>
    </row>
    <row r="493" spans="1:12" ht="12" customHeight="1">
      <c r="B493" s="48">
        <v>488</v>
      </c>
      <c r="C493" s="56" t="s">
        <v>62</v>
      </c>
      <c r="D493" s="56" t="s">
        <v>4</v>
      </c>
      <c r="E493" s="56">
        <v>40</v>
      </c>
      <c r="F493" s="57">
        <v>3380</v>
      </c>
      <c r="G493" s="58">
        <v>0.113</v>
      </c>
      <c r="H493" s="59" t="s">
        <v>195</v>
      </c>
      <c r="I493" s="43">
        <f t="shared" si="14"/>
        <v>65100</v>
      </c>
      <c r="J493" s="49">
        <f t="shared" si="15"/>
        <v>63100</v>
      </c>
      <c r="K493" s="60">
        <v>58900</v>
      </c>
      <c r="L493"/>
    </row>
    <row r="494" spans="1:12" ht="12" customHeight="1">
      <c r="B494" s="48">
        <v>489</v>
      </c>
      <c r="C494" s="56" t="s">
        <v>62</v>
      </c>
      <c r="D494" s="56" t="s">
        <v>4</v>
      </c>
      <c r="E494" s="56">
        <v>40</v>
      </c>
      <c r="F494" s="57">
        <v>2210</v>
      </c>
      <c r="G494" s="58">
        <v>0.39500000000000002</v>
      </c>
      <c r="H494" s="59" t="s">
        <v>195</v>
      </c>
      <c r="I494" s="43">
        <f t="shared" si="14"/>
        <v>90200</v>
      </c>
      <c r="J494" s="49">
        <f t="shared" si="15"/>
        <v>88200</v>
      </c>
      <c r="K494" s="60">
        <v>82400</v>
      </c>
      <c r="L494" s="3"/>
    </row>
    <row r="495" spans="1:12" ht="12" customHeight="1">
      <c r="B495" s="48">
        <v>490</v>
      </c>
      <c r="C495" s="56" t="s">
        <v>62</v>
      </c>
      <c r="D495" s="56" t="s">
        <v>4</v>
      </c>
      <c r="E495" s="56">
        <v>50</v>
      </c>
      <c r="F495" s="57">
        <v>5495</v>
      </c>
      <c r="G495" s="58">
        <v>8.4000000000000005E-2</v>
      </c>
      <c r="H495" s="59" t="s">
        <v>195</v>
      </c>
      <c r="I495" s="43">
        <f t="shared" si="14"/>
        <v>90200</v>
      </c>
      <c r="J495" s="49">
        <f t="shared" si="15"/>
        <v>88200</v>
      </c>
      <c r="K495" s="60">
        <v>82400</v>
      </c>
      <c r="L495" s="3"/>
    </row>
    <row r="496" spans="1:12" ht="12" customHeight="1">
      <c r="B496" s="48">
        <v>491</v>
      </c>
      <c r="C496" s="56" t="s">
        <v>62</v>
      </c>
      <c r="D496" s="56" t="s">
        <v>4</v>
      </c>
      <c r="E496" s="56">
        <v>50</v>
      </c>
      <c r="F496" s="57">
        <v>2530</v>
      </c>
      <c r="G496" s="58">
        <v>0.32900000000000001</v>
      </c>
      <c r="H496" s="59" t="s">
        <v>195</v>
      </c>
      <c r="I496" s="43">
        <f t="shared" si="14"/>
        <v>58800</v>
      </c>
      <c r="J496" s="49">
        <f t="shared" si="15"/>
        <v>56800</v>
      </c>
      <c r="K496" s="60">
        <v>53000</v>
      </c>
      <c r="L496" s="3"/>
    </row>
    <row r="497" spans="1:12" ht="12" customHeight="1">
      <c r="B497" s="48">
        <v>492</v>
      </c>
      <c r="C497" s="56" t="s">
        <v>62</v>
      </c>
      <c r="D497" s="56" t="s">
        <v>4</v>
      </c>
      <c r="E497" s="56">
        <v>70</v>
      </c>
      <c r="F497" s="57">
        <v>1330</v>
      </c>
      <c r="G497" s="58">
        <f>0.058-0.018</f>
        <v>4.0000000000000008E-2</v>
      </c>
      <c r="H497" s="59" t="s">
        <v>195</v>
      </c>
      <c r="I497" s="43">
        <f t="shared" si="14"/>
        <v>84500</v>
      </c>
      <c r="J497" s="49">
        <f t="shared" si="15"/>
        <v>82500</v>
      </c>
      <c r="K497" s="60">
        <v>77100</v>
      </c>
      <c r="L497" s="3"/>
    </row>
    <row r="498" spans="1:12" ht="12" customHeight="1">
      <c r="B498" s="48">
        <v>493</v>
      </c>
      <c r="C498" s="56" t="s">
        <v>62</v>
      </c>
      <c r="D498" s="56" t="s">
        <v>4</v>
      </c>
      <c r="E498" s="56">
        <v>80</v>
      </c>
      <c r="F498" s="57">
        <v>3700</v>
      </c>
      <c r="G498" s="58">
        <v>0.14199999999999999</v>
      </c>
      <c r="H498" s="59" t="s">
        <v>195</v>
      </c>
      <c r="I498" s="43">
        <f t="shared" si="14"/>
        <v>58800</v>
      </c>
      <c r="J498" s="49">
        <f t="shared" si="15"/>
        <v>56800</v>
      </c>
      <c r="K498" s="60">
        <v>53000</v>
      </c>
      <c r="L498" s="3"/>
    </row>
    <row r="499" spans="1:12" customFormat="1" ht="12" customHeight="1">
      <c r="A499" s="4"/>
      <c r="B499" s="48">
        <v>494</v>
      </c>
      <c r="C499" s="56" t="s">
        <v>62</v>
      </c>
      <c r="D499" s="56" t="s">
        <v>4</v>
      </c>
      <c r="E499" s="56">
        <v>85</v>
      </c>
      <c r="F499" s="57">
        <v>5860</v>
      </c>
      <c r="G499" s="58">
        <v>0.25700000000000001</v>
      </c>
      <c r="H499" s="59" t="s">
        <v>195</v>
      </c>
      <c r="I499" s="43">
        <f t="shared" si="14"/>
        <v>90200</v>
      </c>
      <c r="J499" s="49">
        <f t="shared" si="15"/>
        <v>88200</v>
      </c>
      <c r="K499" s="60">
        <v>82400</v>
      </c>
    </row>
    <row r="500" spans="1:12" ht="12" customHeight="1">
      <c r="B500" s="48">
        <v>495</v>
      </c>
      <c r="C500" s="56" t="s">
        <v>62</v>
      </c>
      <c r="D500" s="56" t="s">
        <v>4</v>
      </c>
      <c r="E500" s="56">
        <v>100</v>
      </c>
      <c r="F500" s="57">
        <v>1825</v>
      </c>
      <c r="G500" s="58">
        <v>0.111</v>
      </c>
      <c r="H500" s="59" t="s">
        <v>195</v>
      </c>
      <c r="I500" s="43">
        <f t="shared" si="14"/>
        <v>99400</v>
      </c>
      <c r="J500" s="49">
        <f t="shared" si="15"/>
        <v>97400</v>
      </c>
      <c r="K500" s="60">
        <v>91000</v>
      </c>
      <c r="L500" s="3"/>
    </row>
    <row r="501" spans="1:12" ht="12" customHeight="1">
      <c r="B501" s="48">
        <v>496</v>
      </c>
      <c r="C501" s="56" t="s">
        <v>62</v>
      </c>
      <c r="D501" s="56" t="s">
        <v>4</v>
      </c>
      <c r="E501" s="56">
        <v>130</v>
      </c>
      <c r="F501" s="57">
        <v>2770</v>
      </c>
      <c r="G501" s="58">
        <v>0.28499999999999998</v>
      </c>
      <c r="H501" s="59" t="s">
        <v>195</v>
      </c>
      <c r="I501" s="43">
        <f t="shared" si="14"/>
        <v>102800</v>
      </c>
      <c r="J501" s="49">
        <f t="shared" si="15"/>
        <v>100800</v>
      </c>
      <c r="K501" s="60">
        <v>94200</v>
      </c>
      <c r="L501" s="3"/>
    </row>
    <row r="502" spans="1:12" ht="12" customHeight="1">
      <c r="B502" s="48">
        <v>497</v>
      </c>
      <c r="C502" s="56" t="s">
        <v>62</v>
      </c>
      <c r="D502" s="56" t="s">
        <v>4</v>
      </c>
      <c r="E502" s="56">
        <v>190</v>
      </c>
      <c r="F502" s="57">
        <v>1540</v>
      </c>
      <c r="G502" s="58">
        <v>0.39</v>
      </c>
      <c r="H502" s="59" t="s">
        <v>6</v>
      </c>
      <c r="I502" s="43">
        <f t="shared" si="14"/>
        <v>102800</v>
      </c>
      <c r="J502" s="49">
        <f t="shared" si="15"/>
        <v>100800</v>
      </c>
      <c r="K502" s="60">
        <v>94200</v>
      </c>
      <c r="L502" s="3"/>
    </row>
    <row r="503" spans="1:12" ht="12" customHeight="1">
      <c r="B503" s="48">
        <v>498</v>
      </c>
      <c r="C503" s="56" t="s">
        <v>63</v>
      </c>
      <c r="D503" s="56" t="s">
        <v>4</v>
      </c>
      <c r="E503" s="56">
        <v>105</v>
      </c>
      <c r="F503" s="57">
        <v>1150</v>
      </c>
      <c r="G503" s="58">
        <v>7.4999999999999997E-2</v>
      </c>
      <c r="H503" s="59" t="s">
        <v>195</v>
      </c>
      <c r="I503" s="43">
        <f t="shared" si="14"/>
        <v>188600</v>
      </c>
      <c r="J503" s="49">
        <f t="shared" si="15"/>
        <v>186600</v>
      </c>
      <c r="K503" s="60">
        <v>174300</v>
      </c>
      <c r="L503" s="3"/>
    </row>
    <row r="504" spans="1:12" ht="12" customHeight="1">
      <c r="B504" s="48">
        <v>499</v>
      </c>
      <c r="C504" s="56" t="s">
        <v>64</v>
      </c>
      <c r="D504" s="56" t="s">
        <v>4</v>
      </c>
      <c r="E504" s="56">
        <v>6.2</v>
      </c>
      <c r="F504" s="57">
        <v>2590</v>
      </c>
      <c r="G504" s="58">
        <v>4.0000000000000001E-3</v>
      </c>
      <c r="H504" s="59" t="s">
        <v>195</v>
      </c>
      <c r="I504" s="43">
        <f t="shared" si="14"/>
        <v>79900</v>
      </c>
      <c r="J504" s="49">
        <f t="shared" si="15"/>
        <v>77900</v>
      </c>
      <c r="K504" s="60">
        <v>72800</v>
      </c>
      <c r="L504" s="3"/>
    </row>
    <row r="505" spans="1:12" ht="12" customHeight="1">
      <c r="B505" s="48">
        <v>500</v>
      </c>
      <c r="C505" s="56" t="s">
        <v>64</v>
      </c>
      <c r="D505" s="56" t="s">
        <v>4</v>
      </c>
      <c r="E505" s="56">
        <v>13</v>
      </c>
      <c r="F505" s="57">
        <v>5000</v>
      </c>
      <c r="G505" s="58">
        <f>0.829-0.052-0.082</f>
        <v>0.69499999999999995</v>
      </c>
      <c r="H505" s="59" t="s">
        <v>195</v>
      </c>
      <c r="I505" s="43">
        <f t="shared" si="14"/>
        <v>79900</v>
      </c>
      <c r="J505" s="49">
        <f t="shared" si="15"/>
        <v>77900</v>
      </c>
      <c r="K505" s="60">
        <v>72800</v>
      </c>
      <c r="L505" s="3"/>
    </row>
    <row r="506" spans="1:12" ht="12" customHeight="1">
      <c r="B506" s="48">
        <v>501</v>
      </c>
      <c r="C506" s="56" t="s">
        <v>64</v>
      </c>
      <c r="D506" s="56" t="s">
        <v>4</v>
      </c>
      <c r="E506" s="56">
        <v>42</v>
      </c>
      <c r="F506" s="57">
        <v>2400</v>
      </c>
      <c r="G506" s="58">
        <f>0.385-0.054</f>
        <v>0.33100000000000002</v>
      </c>
      <c r="H506" s="59" t="s">
        <v>195</v>
      </c>
      <c r="I506" s="43">
        <f t="shared" si="14"/>
        <v>79900</v>
      </c>
      <c r="J506" s="49">
        <f t="shared" si="15"/>
        <v>77900</v>
      </c>
      <c r="K506" s="60">
        <v>72800</v>
      </c>
      <c r="L506" s="3"/>
    </row>
    <row r="507" spans="1:12" s="24" customFormat="1" ht="12" customHeight="1">
      <c r="A507" s="26"/>
      <c r="B507" s="48">
        <v>502</v>
      </c>
      <c r="C507" s="56" t="s">
        <v>64</v>
      </c>
      <c r="D507" s="56" t="s">
        <v>4</v>
      </c>
      <c r="E507" s="56">
        <v>45</v>
      </c>
      <c r="F507" s="57">
        <v>2605</v>
      </c>
      <c r="G507" s="58">
        <v>6.3E-2</v>
      </c>
      <c r="H507" s="59" t="s">
        <v>195</v>
      </c>
      <c r="I507" s="43">
        <f t="shared" si="14"/>
        <v>79900</v>
      </c>
      <c r="J507" s="49">
        <f t="shared" si="15"/>
        <v>77900</v>
      </c>
      <c r="K507" s="60">
        <v>72800</v>
      </c>
    </row>
    <row r="508" spans="1:12" ht="12" customHeight="1">
      <c r="B508" s="48">
        <v>503</v>
      </c>
      <c r="C508" s="56" t="s">
        <v>64</v>
      </c>
      <c r="D508" s="56" t="s">
        <v>4</v>
      </c>
      <c r="E508" s="56">
        <v>45</v>
      </c>
      <c r="F508" s="57">
        <v>4035</v>
      </c>
      <c r="G508" s="58">
        <f>0.05+0.05</f>
        <v>0.1</v>
      </c>
      <c r="H508" s="59" t="s">
        <v>195</v>
      </c>
      <c r="I508" s="43">
        <f t="shared" si="14"/>
        <v>79900</v>
      </c>
      <c r="J508" s="49">
        <f t="shared" si="15"/>
        <v>77900</v>
      </c>
      <c r="K508" s="60">
        <v>72800</v>
      </c>
      <c r="L508" s="3"/>
    </row>
    <row r="509" spans="1:12" ht="12" customHeight="1">
      <c r="B509" s="48">
        <v>504</v>
      </c>
      <c r="C509" s="56" t="s">
        <v>64</v>
      </c>
      <c r="D509" s="56" t="s">
        <v>4</v>
      </c>
      <c r="E509" s="56">
        <v>45</v>
      </c>
      <c r="F509" s="57">
        <v>4585</v>
      </c>
      <c r="G509" s="58">
        <f>0.843-0.112-0.057-0.228</f>
        <v>0.44599999999999995</v>
      </c>
      <c r="H509" s="59" t="s">
        <v>195</v>
      </c>
      <c r="I509" s="43">
        <f t="shared" si="14"/>
        <v>79900</v>
      </c>
      <c r="J509" s="49">
        <f t="shared" si="15"/>
        <v>77900</v>
      </c>
      <c r="K509" s="60">
        <v>72800</v>
      </c>
      <c r="L509" s="3"/>
    </row>
    <row r="510" spans="1:12" ht="12" customHeight="1">
      <c r="B510" s="48">
        <v>505</v>
      </c>
      <c r="C510" s="56" t="s">
        <v>64</v>
      </c>
      <c r="D510" s="67" t="s">
        <v>4</v>
      </c>
      <c r="E510" s="67">
        <v>46</v>
      </c>
      <c r="F510" s="68">
        <v>6030</v>
      </c>
      <c r="G510" s="70">
        <f>3.755-0.078-0.155</f>
        <v>3.5220000000000002</v>
      </c>
      <c r="H510" s="69" t="s">
        <v>195</v>
      </c>
      <c r="I510" s="43">
        <f t="shared" si="14"/>
        <v>79900</v>
      </c>
      <c r="J510" s="49">
        <f t="shared" si="15"/>
        <v>77900</v>
      </c>
      <c r="K510" s="60">
        <v>72800</v>
      </c>
      <c r="L510" s="3"/>
    </row>
    <row r="511" spans="1:12" ht="12" customHeight="1">
      <c r="B511" s="48">
        <v>506</v>
      </c>
      <c r="C511" s="56" t="s">
        <v>64</v>
      </c>
      <c r="D511" s="56" t="s">
        <v>4</v>
      </c>
      <c r="E511" s="56">
        <v>48</v>
      </c>
      <c r="F511" s="57">
        <v>5070</v>
      </c>
      <c r="G511" s="58">
        <v>0.14499999999999999</v>
      </c>
      <c r="H511" s="59" t="s">
        <v>195</v>
      </c>
      <c r="I511" s="43">
        <f t="shared" si="14"/>
        <v>79900</v>
      </c>
      <c r="J511" s="49">
        <f t="shared" si="15"/>
        <v>77900</v>
      </c>
      <c r="K511" s="60">
        <v>72800</v>
      </c>
      <c r="L511" s="5"/>
    </row>
    <row r="512" spans="1:12" ht="12" customHeight="1">
      <c r="B512" s="48">
        <v>507</v>
      </c>
      <c r="C512" s="56" t="s">
        <v>64</v>
      </c>
      <c r="D512" s="56" t="s">
        <v>4</v>
      </c>
      <c r="E512" s="56">
        <v>48</v>
      </c>
      <c r="F512" s="57">
        <v>5070</v>
      </c>
      <c r="G512" s="58">
        <v>7.0999999999999994E-2</v>
      </c>
      <c r="H512" s="59" t="s">
        <v>195</v>
      </c>
      <c r="I512" s="43">
        <f t="shared" si="14"/>
        <v>79900</v>
      </c>
      <c r="J512" s="49">
        <f t="shared" si="15"/>
        <v>77900</v>
      </c>
      <c r="K512" s="60">
        <v>72800</v>
      </c>
      <c r="L512" s="3"/>
    </row>
    <row r="513" spans="2:12" ht="12" customHeight="1">
      <c r="B513" s="48">
        <v>508</v>
      </c>
      <c r="C513" s="56" t="s">
        <v>64</v>
      </c>
      <c r="D513" s="56" t="s">
        <v>4</v>
      </c>
      <c r="E513" s="56">
        <v>74</v>
      </c>
      <c r="F513" s="57">
        <v>4100</v>
      </c>
      <c r="G513" s="58">
        <f>0.995-0.138-0.138</f>
        <v>0.71899999999999997</v>
      </c>
      <c r="H513" s="59" t="s">
        <v>195</v>
      </c>
      <c r="I513" s="43">
        <f t="shared" si="14"/>
        <v>79900</v>
      </c>
      <c r="J513" s="49">
        <f t="shared" si="15"/>
        <v>77900</v>
      </c>
      <c r="K513" s="60">
        <v>72800</v>
      </c>
      <c r="L513" s="3"/>
    </row>
    <row r="514" spans="2:12" ht="12" customHeight="1">
      <c r="B514" s="48">
        <v>509</v>
      </c>
      <c r="C514" s="56" t="s">
        <v>64</v>
      </c>
      <c r="D514" s="56" t="s">
        <v>4</v>
      </c>
      <c r="E514" s="56">
        <v>75</v>
      </c>
      <c r="F514" s="57">
        <v>2860</v>
      </c>
      <c r="G514" s="58">
        <v>9.8000000000000004E-2</v>
      </c>
      <c r="H514" s="59" t="s">
        <v>195</v>
      </c>
      <c r="I514" s="43">
        <f t="shared" si="14"/>
        <v>79900</v>
      </c>
      <c r="J514" s="49">
        <f t="shared" si="15"/>
        <v>77900</v>
      </c>
      <c r="K514" s="60">
        <v>72800</v>
      </c>
      <c r="L514" s="3"/>
    </row>
    <row r="515" spans="2:12" s="1" customFormat="1" ht="12" customHeight="1">
      <c r="B515" s="48">
        <v>510</v>
      </c>
      <c r="C515" s="56" t="s">
        <v>64</v>
      </c>
      <c r="D515" s="56" t="s">
        <v>4</v>
      </c>
      <c r="E515" s="56">
        <v>75</v>
      </c>
      <c r="F515" s="57">
        <v>3615</v>
      </c>
      <c r="G515" s="58">
        <f>2.395-0.276</f>
        <v>2.1189999999999998</v>
      </c>
      <c r="H515" s="59" t="s">
        <v>195</v>
      </c>
      <c r="I515" s="43">
        <f t="shared" si="14"/>
        <v>79900</v>
      </c>
      <c r="J515" s="49">
        <f t="shared" si="15"/>
        <v>77900</v>
      </c>
      <c r="K515" s="60">
        <v>72800</v>
      </c>
      <c r="L515" s="3"/>
    </row>
    <row r="516" spans="2:12" s="2" customFormat="1" ht="12" customHeight="1">
      <c r="B516" s="48">
        <v>511</v>
      </c>
      <c r="C516" s="56" t="s">
        <v>64</v>
      </c>
      <c r="D516" s="56" t="s">
        <v>4</v>
      </c>
      <c r="E516" s="56">
        <v>75</v>
      </c>
      <c r="F516" s="57">
        <v>4000</v>
      </c>
      <c r="G516" s="58">
        <f>0.56-0.143</f>
        <v>0.41700000000000004</v>
      </c>
      <c r="H516" s="59" t="s">
        <v>195</v>
      </c>
      <c r="I516" s="43">
        <f t="shared" si="14"/>
        <v>79900</v>
      </c>
      <c r="J516" s="49">
        <f t="shared" si="15"/>
        <v>77900</v>
      </c>
      <c r="K516" s="60">
        <v>72800</v>
      </c>
      <c r="L516" s="1"/>
    </row>
    <row r="517" spans="2:12" ht="12" customHeight="1">
      <c r="B517" s="48">
        <v>512</v>
      </c>
      <c r="C517" s="56" t="s">
        <v>64</v>
      </c>
      <c r="D517" s="56" t="s">
        <v>4</v>
      </c>
      <c r="E517" s="56">
        <v>80</v>
      </c>
      <c r="F517" s="57">
        <v>3460</v>
      </c>
      <c r="G517" s="58">
        <f>1.095-0.418</f>
        <v>0.67700000000000005</v>
      </c>
      <c r="H517" s="59" t="s">
        <v>195</v>
      </c>
      <c r="I517" s="43">
        <f t="shared" si="14"/>
        <v>79900</v>
      </c>
      <c r="J517" s="49">
        <f t="shared" si="15"/>
        <v>77900</v>
      </c>
      <c r="K517" s="60">
        <v>72800</v>
      </c>
      <c r="L517" s="2"/>
    </row>
    <row r="518" spans="2:12" ht="12" customHeight="1">
      <c r="B518" s="48">
        <v>513</v>
      </c>
      <c r="C518" s="56" t="s">
        <v>64</v>
      </c>
      <c r="D518" s="56" t="s">
        <v>4</v>
      </c>
      <c r="E518" s="56">
        <v>83</v>
      </c>
      <c r="F518" s="57">
        <v>3085</v>
      </c>
      <c r="G518" s="58">
        <v>0.13</v>
      </c>
      <c r="H518" s="59" t="s">
        <v>195</v>
      </c>
      <c r="I518" s="43">
        <f t="shared" ref="I518:I581" si="16">J518+2000</f>
        <v>77700</v>
      </c>
      <c r="J518" s="49">
        <f t="shared" si="15"/>
        <v>75700</v>
      </c>
      <c r="K518" s="60">
        <v>70700</v>
      </c>
      <c r="L518" s="3"/>
    </row>
    <row r="519" spans="2:12" ht="12" customHeight="1">
      <c r="B519" s="48">
        <v>514</v>
      </c>
      <c r="C519" s="56" t="s">
        <v>64</v>
      </c>
      <c r="D519" s="56" t="s">
        <v>4</v>
      </c>
      <c r="E519" s="56">
        <v>85</v>
      </c>
      <c r="F519" s="57">
        <v>3710</v>
      </c>
      <c r="G519" s="58">
        <v>0.16500000000000001</v>
      </c>
      <c r="H519" s="59" t="s">
        <v>195</v>
      </c>
      <c r="I519" s="43">
        <f t="shared" si="16"/>
        <v>88000</v>
      </c>
      <c r="J519" s="49">
        <f t="shared" ref="J519:J582" si="17">ROUNDUP(K519*1.07,-2)</f>
        <v>86000</v>
      </c>
      <c r="K519" s="60">
        <v>80300</v>
      </c>
      <c r="L519" s="3"/>
    </row>
    <row r="520" spans="2:12" ht="12" customHeight="1">
      <c r="B520" s="48">
        <v>515</v>
      </c>
      <c r="C520" s="56" t="s">
        <v>64</v>
      </c>
      <c r="D520" s="56" t="s">
        <v>4</v>
      </c>
      <c r="E520" s="74">
        <v>85</v>
      </c>
      <c r="F520" s="77">
        <v>3910</v>
      </c>
      <c r="G520" s="75">
        <v>0.17399999999999999</v>
      </c>
      <c r="H520" s="59" t="s">
        <v>195</v>
      </c>
      <c r="I520" s="43">
        <f t="shared" si="16"/>
        <v>88000</v>
      </c>
      <c r="J520" s="49">
        <f t="shared" si="17"/>
        <v>86000</v>
      </c>
      <c r="K520" s="60">
        <v>80300</v>
      </c>
      <c r="L520" s="3"/>
    </row>
    <row r="521" spans="2:12" ht="12" customHeight="1">
      <c r="B521" s="48">
        <v>516</v>
      </c>
      <c r="C521" s="56" t="s">
        <v>64</v>
      </c>
      <c r="D521" s="74" t="s">
        <v>4</v>
      </c>
      <c r="E521" s="56">
        <v>85</v>
      </c>
      <c r="F521" s="57">
        <v>3960</v>
      </c>
      <c r="G521" s="58">
        <v>0.17599999999999999</v>
      </c>
      <c r="H521" s="59" t="s">
        <v>195</v>
      </c>
      <c r="I521" s="43">
        <f t="shared" si="16"/>
        <v>88000</v>
      </c>
      <c r="J521" s="49">
        <f t="shared" si="17"/>
        <v>86000</v>
      </c>
      <c r="K521" s="60">
        <v>80300</v>
      </c>
      <c r="L521" s="3"/>
    </row>
    <row r="522" spans="2:12" ht="12" customHeight="1">
      <c r="B522" s="48">
        <v>517</v>
      </c>
      <c r="C522" s="56" t="s">
        <v>64</v>
      </c>
      <c r="D522" s="56" t="s">
        <v>4</v>
      </c>
      <c r="E522" s="56">
        <v>85</v>
      </c>
      <c r="F522" s="57">
        <v>4170</v>
      </c>
      <c r="G522" s="58">
        <v>0.185</v>
      </c>
      <c r="H522" s="59" t="s">
        <v>195</v>
      </c>
      <c r="I522" s="43">
        <f t="shared" si="16"/>
        <v>88000</v>
      </c>
      <c r="J522" s="49">
        <f t="shared" si="17"/>
        <v>86000</v>
      </c>
      <c r="K522" s="60">
        <v>80300</v>
      </c>
      <c r="L522" s="5"/>
    </row>
    <row r="523" spans="2:12" ht="12" customHeight="1">
      <c r="B523" s="48">
        <v>518</v>
      </c>
      <c r="C523" s="56" t="s">
        <v>64</v>
      </c>
      <c r="D523" s="56" t="s">
        <v>4</v>
      </c>
      <c r="E523" s="56">
        <v>85</v>
      </c>
      <c r="F523" s="57">
        <v>4310</v>
      </c>
      <c r="G523" s="58">
        <v>0.20100000000000001</v>
      </c>
      <c r="H523" s="59" t="s">
        <v>259</v>
      </c>
      <c r="I523" s="43">
        <f t="shared" si="16"/>
        <v>88000</v>
      </c>
      <c r="J523" s="49">
        <f t="shared" si="17"/>
        <v>86000</v>
      </c>
      <c r="K523" s="60">
        <v>80300</v>
      </c>
      <c r="L523" s="3"/>
    </row>
    <row r="524" spans="2:12" ht="12" customHeight="1">
      <c r="B524" s="48">
        <v>519</v>
      </c>
      <c r="C524" s="56" t="s">
        <v>64</v>
      </c>
      <c r="D524" s="56" t="s">
        <v>4</v>
      </c>
      <c r="E524" s="56">
        <v>85</v>
      </c>
      <c r="F524" s="57">
        <v>4210</v>
      </c>
      <c r="G524" s="58">
        <v>0.187</v>
      </c>
      <c r="H524" s="59" t="s">
        <v>195</v>
      </c>
      <c r="I524" s="43">
        <f t="shared" si="16"/>
        <v>88000</v>
      </c>
      <c r="J524" s="49">
        <f t="shared" si="17"/>
        <v>86000</v>
      </c>
      <c r="K524" s="60">
        <v>80300</v>
      </c>
      <c r="L524" s="3"/>
    </row>
    <row r="525" spans="2:12" ht="12" customHeight="1">
      <c r="B525" s="48">
        <v>520</v>
      </c>
      <c r="C525" s="56" t="s">
        <v>64</v>
      </c>
      <c r="D525" s="56" t="s">
        <v>4</v>
      </c>
      <c r="E525" s="56">
        <v>120</v>
      </c>
      <c r="F525" s="57">
        <v>600</v>
      </c>
      <c r="G525" s="58">
        <v>5.1999999999999998E-2</v>
      </c>
      <c r="H525" s="59" t="s">
        <v>195</v>
      </c>
      <c r="I525" s="43">
        <f t="shared" si="16"/>
        <v>88000</v>
      </c>
      <c r="J525" s="49">
        <f t="shared" si="17"/>
        <v>86000</v>
      </c>
      <c r="K525" s="60">
        <v>80300</v>
      </c>
      <c r="L525" s="3"/>
    </row>
    <row r="526" spans="2:12" ht="12" customHeight="1">
      <c r="B526" s="48">
        <v>521</v>
      </c>
      <c r="C526" s="56" t="s">
        <v>64</v>
      </c>
      <c r="D526" s="56" t="s">
        <v>4</v>
      </c>
      <c r="E526" s="56">
        <v>160</v>
      </c>
      <c r="F526" s="57">
        <v>3550</v>
      </c>
      <c r="G526" s="58">
        <v>7.3449999999999998</v>
      </c>
      <c r="H526" s="59" t="s">
        <v>6</v>
      </c>
      <c r="I526" s="43">
        <f t="shared" si="16"/>
        <v>88000</v>
      </c>
      <c r="J526" s="49">
        <f t="shared" si="17"/>
        <v>86000</v>
      </c>
      <c r="K526" s="60">
        <v>80300</v>
      </c>
      <c r="L526" s="3"/>
    </row>
    <row r="527" spans="2:12" ht="12" customHeight="1">
      <c r="B527" s="48">
        <v>522</v>
      </c>
      <c r="C527" s="56" t="s">
        <v>64</v>
      </c>
      <c r="D527" s="56" t="s">
        <v>4</v>
      </c>
      <c r="E527" s="56">
        <v>170</v>
      </c>
      <c r="F527" s="57">
        <v>3000</v>
      </c>
      <c r="G527" s="58">
        <f>0.635-0.09</f>
        <v>0.54500000000000004</v>
      </c>
      <c r="H527" s="59" t="s">
        <v>6</v>
      </c>
      <c r="I527" s="43">
        <f t="shared" si="16"/>
        <v>88000</v>
      </c>
      <c r="J527" s="49">
        <f t="shared" si="17"/>
        <v>86000</v>
      </c>
      <c r="K527" s="60">
        <v>80300</v>
      </c>
      <c r="L527" s="3"/>
    </row>
    <row r="528" spans="2:12" ht="12" customHeight="1">
      <c r="B528" s="48">
        <v>523</v>
      </c>
      <c r="C528" s="56" t="s">
        <v>64</v>
      </c>
      <c r="D528" s="56" t="s">
        <v>4</v>
      </c>
      <c r="E528" s="56">
        <v>190</v>
      </c>
      <c r="F528" s="57">
        <v>4050</v>
      </c>
      <c r="G528" s="58">
        <f>1.826-0.892</f>
        <v>0.93400000000000005</v>
      </c>
      <c r="H528" s="59"/>
      <c r="I528" s="43">
        <f t="shared" si="16"/>
        <v>96500</v>
      </c>
      <c r="J528" s="49">
        <f t="shared" si="17"/>
        <v>94500</v>
      </c>
      <c r="K528" s="60">
        <v>88300</v>
      </c>
      <c r="L528" s="5"/>
    </row>
    <row r="529" spans="2:12" ht="12" customHeight="1">
      <c r="B529" s="48">
        <v>524</v>
      </c>
      <c r="C529" s="56" t="s">
        <v>64</v>
      </c>
      <c r="D529" s="56" t="s">
        <v>4</v>
      </c>
      <c r="E529" s="56">
        <v>195</v>
      </c>
      <c r="F529" s="57">
        <v>2160</v>
      </c>
      <c r="G529" s="58">
        <v>0.52500000000000002</v>
      </c>
      <c r="H529" s="59" t="s">
        <v>6</v>
      </c>
      <c r="I529" s="43">
        <f t="shared" si="16"/>
        <v>96500</v>
      </c>
      <c r="J529" s="49">
        <f t="shared" si="17"/>
        <v>94500</v>
      </c>
      <c r="K529" s="60">
        <v>88300</v>
      </c>
      <c r="L529" s="3"/>
    </row>
    <row r="530" spans="2:12" ht="12" customHeight="1">
      <c r="B530" s="48">
        <v>525</v>
      </c>
      <c r="C530" s="56" t="s">
        <v>64</v>
      </c>
      <c r="D530" s="56" t="s">
        <v>4</v>
      </c>
      <c r="E530" s="56">
        <v>200</v>
      </c>
      <c r="F530" s="57">
        <v>2210</v>
      </c>
      <c r="G530" s="58">
        <f>2.485-0.625-0.61</f>
        <v>1.25</v>
      </c>
      <c r="H530" s="59" t="s">
        <v>6</v>
      </c>
      <c r="I530" s="43">
        <f t="shared" si="16"/>
        <v>96500</v>
      </c>
      <c r="J530" s="49">
        <f t="shared" si="17"/>
        <v>94500</v>
      </c>
      <c r="K530" s="60">
        <v>88300</v>
      </c>
      <c r="L530" s="3"/>
    </row>
    <row r="531" spans="2:12" ht="12" customHeight="1">
      <c r="B531" s="48">
        <v>526</v>
      </c>
      <c r="C531" s="56" t="s">
        <v>64</v>
      </c>
      <c r="D531" s="56" t="s">
        <v>4</v>
      </c>
      <c r="E531" s="56">
        <v>205</v>
      </c>
      <c r="F531" s="57">
        <v>200</v>
      </c>
      <c r="G531" s="58">
        <v>6.5000000000000002E-2</v>
      </c>
      <c r="H531" s="59" t="s">
        <v>6</v>
      </c>
      <c r="I531" s="43">
        <f t="shared" si="16"/>
        <v>96500</v>
      </c>
      <c r="J531" s="49">
        <f t="shared" si="17"/>
        <v>94500</v>
      </c>
      <c r="K531" s="60">
        <v>88300</v>
      </c>
      <c r="L531" s="3"/>
    </row>
    <row r="532" spans="2:12" ht="12" customHeight="1">
      <c r="B532" s="48">
        <v>527</v>
      </c>
      <c r="C532" s="56" t="s">
        <v>64</v>
      </c>
      <c r="D532" s="56" t="s">
        <v>4</v>
      </c>
      <c r="E532" s="56">
        <v>210</v>
      </c>
      <c r="F532" s="57">
        <v>165</v>
      </c>
      <c r="G532" s="58">
        <v>4.4999999999999998E-2</v>
      </c>
      <c r="H532" s="59" t="s">
        <v>6</v>
      </c>
      <c r="I532" s="43">
        <f t="shared" si="16"/>
        <v>96500</v>
      </c>
      <c r="J532" s="49">
        <f t="shared" si="17"/>
        <v>94500</v>
      </c>
      <c r="K532" s="60">
        <v>88300</v>
      </c>
      <c r="L532" s="3"/>
    </row>
    <row r="533" spans="2:12" ht="12" customHeight="1">
      <c r="B533" s="48">
        <v>528</v>
      </c>
      <c r="C533" s="56" t="s">
        <v>243</v>
      </c>
      <c r="D533" s="56" t="s">
        <v>4</v>
      </c>
      <c r="E533" s="56">
        <v>250</v>
      </c>
      <c r="F533" s="57">
        <v>550</v>
      </c>
      <c r="G533" s="58">
        <v>0.22500000000000001</v>
      </c>
      <c r="H533" s="59" t="s">
        <v>34</v>
      </c>
      <c r="I533" s="43">
        <f t="shared" si="16"/>
        <v>105100</v>
      </c>
      <c r="J533" s="49">
        <f t="shared" si="17"/>
        <v>103100</v>
      </c>
      <c r="K533" s="60">
        <v>96300</v>
      </c>
      <c r="L533" s="3"/>
    </row>
    <row r="534" spans="2:12" ht="12" customHeight="1">
      <c r="B534" s="48">
        <v>529</v>
      </c>
      <c r="C534" s="56" t="s">
        <v>64</v>
      </c>
      <c r="D534" s="56" t="s">
        <v>4</v>
      </c>
      <c r="E534" s="56">
        <v>700</v>
      </c>
      <c r="F534" s="57">
        <v>95</v>
      </c>
      <c r="G534" s="58">
        <v>0.3</v>
      </c>
      <c r="H534" s="59" t="s">
        <v>6</v>
      </c>
      <c r="I534" s="43">
        <f t="shared" si="16"/>
        <v>115500</v>
      </c>
      <c r="J534" s="49">
        <f t="shared" si="17"/>
        <v>113500</v>
      </c>
      <c r="K534" s="60">
        <v>106000</v>
      </c>
      <c r="L534" s="3"/>
    </row>
    <row r="535" spans="2:12" s="2" customFormat="1" ht="12" customHeight="1">
      <c r="B535" s="48">
        <v>530</v>
      </c>
      <c r="C535" s="56" t="s">
        <v>65</v>
      </c>
      <c r="D535" s="56" t="s">
        <v>4</v>
      </c>
      <c r="E535" s="56">
        <v>10</v>
      </c>
      <c r="F535" s="57">
        <v>4000</v>
      </c>
      <c r="G535" s="58">
        <f>0.04-0.002-0.02</f>
        <v>1.7999999999999999E-2</v>
      </c>
      <c r="H535" s="59" t="s">
        <v>195</v>
      </c>
      <c r="I535" s="43">
        <f t="shared" si="16"/>
        <v>328400</v>
      </c>
      <c r="J535" s="49">
        <f t="shared" si="17"/>
        <v>326400</v>
      </c>
      <c r="K535" s="60">
        <v>305000</v>
      </c>
      <c r="L535" s="3"/>
    </row>
    <row r="536" spans="2:12" ht="12" customHeight="1">
      <c r="B536" s="48">
        <v>531</v>
      </c>
      <c r="C536" s="56" t="s">
        <v>65</v>
      </c>
      <c r="D536" s="56" t="s">
        <v>4</v>
      </c>
      <c r="E536" s="56">
        <v>10.5</v>
      </c>
      <c r="F536" s="57">
        <v>2530</v>
      </c>
      <c r="G536" s="58">
        <v>0.05</v>
      </c>
      <c r="H536" s="59" t="s">
        <v>218</v>
      </c>
      <c r="I536" s="43">
        <f t="shared" si="16"/>
        <v>328400</v>
      </c>
      <c r="J536" s="49">
        <f t="shared" si="17"/>
        <v>326400</v>
      </c>
      <c r="K536" s="60">
        <v>305000</v>
      </c>
      <c r="L536" s="2"/>
    </row>
    <row r="537" spans="2:12" ht="12" customHeight="1">
      <c r="B537" s="48">
        <v>532</v>
      </c>
      <c r="C537" s="56" t="s">
        <v>65</v>
      </c>
      <c r="D537" s="56" t="s">
        <v>4</v>
      </c>
      <c r="E537" s="56">
        <v>12</v>
      </c>
      <c r="F537" s="57">
        <v>4000</v>
      </c>
      <c r="G537" s="58">
        <f>0.155-0.011-0.09-0.006-0.011-0.025-0.003</f>
        <v>8.9999999999999906E-3</v>
      </c>
      <c r="H537" s="59" t="s">
        <v>195</v>
      </c>
      <c r="I537" s="43">
        <f t="shared" si="16"/>
        <v>328400</v>
      </c>
      <c r="J537" s="49">
        <f t="shared" si="17"/>
        <v>326400</v>
      </c>
      <c r="K537" s="60">
        <v>305000</v>
      </c>
      <c r="L537" s="3"/>
    </row>
    <row r="538" spans="2:12" ht="12" customHeight="1">
      <c r="B538" s="48">
        <v>533</v>
      </c>
      <c r="C538" s="56" t="s">
        <v>65</v>
      </c>
      <c r="D538" s="56" t="s">
        <v>4</v>
      </c>
      <c r="E538" s="56">
        <v>15</v>
      </c>
      <c r="F538" s="57">
        <v>1430</v>
      </c>
      <c r="G538" s="58">
        <f>0.002+0.002+0.004-0.004</f>
        <v>4.0000000000000001E-3</v>
      </c>
      <c r="H538" s="59" t="s">
        <v>195</v>
      </c>
      <c r="I538" s="43">
        <f t="shared" si="16"/>
        <v>328400</v>
      </c>
      <c r="J538" s="49">
        <f t="shared" si="17"/>
        <v>326400</v>
      </c>
      <c r="K538" s="60">
        <v>305000</v>
      </c>
      <c r="L538" s="3"/>
    </row>
    <row r="539" spans="2:12" ht="12" customHeight="1">
      <c r="B539" s="48">
        <v>534</v>
      </c>
      <c r="C539" s="56" t="s">
        <v>65</v>
      </c>
      <c r="D539" s="56" t="s">
        <v>4</v>
      </c>
      <c r="E539" s="56">
        <v>15</v>
      </c>
      <c r="F539" s="57">
        <v>3500</v>
      </c>
      <c r="G539" s="58">
        <v>4.2999999999999997E-2</v>
      </c>
      <c r="H539" s="59" t="s">
        <v>195</v>
      </c>
      <c r="I539" s="43">
        <f t="shared" si="16"/>
        <v>328400</v>
      </c>
      <c r="J539" s="49">
        <f t="shared" si="17"/>
        <v>326400</v>
      </c>
      <c r="K539" s="60">
        <v>305000</v>
      </c>
      <c r="L539" s="3"/>
    </row>
    <row r="540" spans="2:12" ht="12" customHeight="1">
      <c r="B540" s="48">
        <v>535</v>
      </c>
      <c r="C540" s="56" t="s">
        <v>65</v>
      </c>
      <c r="D540" s="56" t="s">
        <v>4</v>
      </c>
      <c r="E540" s="56">
        <v>16</v>
      </c>
      <c r="F540" s="57">
        <v>2560</v>
      </c>
      <c r="G540" s="58">
        <f>0.08-0.02-0.018</f>
        <v>4.1999999999999996E-2</v>
      </c>
      <c r="H540" s="59" t="s">
        <v>195</v>
      </c>
      <c r="I540" s="43">
        <f t="shared" si="16"/>
        <v>328400</v>
      </c>
      <c r="J540" s="49">
        <f t="shared" si="17"/>
        <v>326400</v>
      </c>
      <c r="K540" s="60">
        <v>305000</v>
      </c>
      <c r="L540" s="3"/>
    </row>
    <row r="541" spans="2:12" ht="12" customHeight="1">
      <c r="B541" s="48">
        <v>536</v>
      </c>
      <c r="C541" s="56" t="s">
        <v>65</v>
      </c>
      <c r="D541" s="56" t="s">
        <v>4</v>
      </c>
      <c r="E541" s="56">
        <v>16</v>
      </c>
      <c r="F541" s="57">
        <v>3100</v>
      </c>
      <c r="G541" s="58">
        <f>1.72-0.83-0.015-0.01-0.01-0.033-0.1-0.05-0.12-0.2-0.3-0.017</f>
        <v>3.4999999999999934E-2</v>
      </c>
      <c r="H541" s="59" t="s">
        <v>195</v>
      </c>
      <c r="I541" s="43">
        <f t="shared" si="16"/>
        <v>328400</v>
      </c>
      <c r="J541" s="49">
        <f t="shared" si="17"/>
        <v>326400</v>
      </c>
      <c r="K541" s="60">
        <v>305000</v>
      </c>
      <c r="L541" s="3"/>
    </row>
    <row r="542" spans="2:12" ht="12" customHeight="1">
      <c r="B542" s="48">
        <v>537</v>
      </c>
      <c r="C542" s="56" t="s">
        <v>65</v>
      </c>
      <c r="D542" s="56" t="s">
        <v>4</v>
      </c>
      <c r="E542" s="56">
        <v>18</v>
      </c>
      <c r="F542" s="57">
        <v>2275</v>
      </c>
      <c r="G542" s="58">
        <v>0.05</v>
      </c>
      <c r="H542" s="59" t="s">
        <v>195</v>
      </c>
      <c r="I542" s="43">
        <f t="shared" si="16"/>
        <v>328400</v>
      </c>
      <c r="J542" s="49">
        <f t="shared" si="17"/>
        <v>326400</v>
      </c>
      <c r="K542" s="60">
        <v>305000</v>
      </c>
      <c r="L542" s="3"/>
    </row>
    <row r="543" spans="2:12" ht="12" customHeight="1">
      <c r="B543" s="48">
        <v>538</v>
      </c>
      <c r="C543" s="56" t="s">
        <v>65</v>
      </c>
      <c r="D543" s="56" t="s">
        <v>4</v>
      </c>
      <c r="E543" s="56">
        <v>18</v>
      </c>
      <c r="F543" s="57">
        <v>1000</v>
      </c>
      <c r="G543" s="58">
        <f>1.785-0.014-0.018-0.018-0.009-0.2-0.043-0.014-0.018-0.013-0.144-0.023</f>
        <v>1.2710000000000004</v>
      </c>
      <c r="H543" s="59" t="s">
        <v>195</v>
      </c>
      <c r="I543" s="43">
        <f t="shared" si="16"/>
        <v>328400</v>
      </c>
      <c r="J543" s="49">
        <f t="shared" si="17"/>
        <v>326400</v>
      </c>
      <c r="K543" s="60">
        <v>305000</v>
      </c>
      <c r="L543" s="3"/>
    </row>
    <row r="544" spans="2:12" ht="12" customHeight="1">
      <c r="B544" s="48">
        <v>539</v>
      </c>
      <c r="C544" s="56" t="s">
        <v>65</v>
      </c>
      <c r="D544" s="56" t="s">
        <v>4</v>
      </c>
      <c r="E544" s="56">
        <v>19</v>
      </c>
      <c r="F544" s="57">
        <v>3355</v>
      </c>
      <c r="G544" s="58">
        <v>7.0000000000000001E-3</v>
      </c>
      <c r="H544" s="59" t="s">
        <v>195</v>
      </c>
      <c r="I544" s="43">
        <f t="shared" si="16"/>
        <v>328400</v>
      </c>
      <c r="J544" s="49">
        <f t="shared" si="17"/>
        <v>326400</v>
      </c>
      <c r="K544" s="60">
        <v>305000</v>
      </c>
      <c r="L544" s="3"/>
    </row>
    <row r="545" spans="2:12" ht="12" customHeight="1">
      <c r="B545" s="48">
        <v>540</v>
      </c>
      <c r="C545" s="56" t="s">
        <v>65</v>
      </c>
      <c r="D545" s="56" t="s">
        <v>4</v>
      </c>
      <c r="E545" s="56">
        <v>20</v>
      </c>
      <c r="F545" s="57">
        <v>2200</v>
      </c>
      <c r="G545" s="58">
        <f>0.58-0.005-0.105-0.013</f>
        <v>0.45699999999999996</v>
      </c>
      <c r="H545" s="59" t="s">
        <v>195</v>
      </c>
      <c r="I545" s="43">
        <f t="shared" si="16"/>
        <v>328400</v>
      </c>
      <c r="J545" s="49">
        <f t="shared" si="17"/>
        <v>326400</v>
      </c>
      <c r="K545" s="60">
        <v>305000</v>
      </c>
      <c r="L545" s="3"/>
    </row>
    <row r="546" spans="2:12" ht="12" customHeight="1">
      <c r="B546" s="48">
        <v>541</v>
      </c>
      <c r="C546" s="56" t="s">
        <v>65</v>
      </c>
      <c r="D546" s="56" t="s">
        <v>4</v>
      </c>
      <c r="E546" s="56">
        <v>20</v>
      </c>
      <c r="F546" s="57">
        <v>3070</v>
      </c>
      <c r="G546" s="58">
        <f>0.029-0.014-0.007</f>
        <v>8.0000000000000002E-3</v>
      </c>
      <c r="H546" s="59" t="s">
        <v>195</v>
      </c>
      <c r="I546" s="43">
        <f t="shared" si="16"/>
        <v>328400</v>
      </c>
      <c r="J546" s="49">
        <f t="shared" si="17"/>
        <v>326400</v>
      </c>
      <c r="K546" s="60">
        <v>305000</v>
      </c>
      <c r="L546" s="3"/>
    </row>
    <row r="547" spans="2:12" ht="12" customHeight="1">
      <c r="B547" s="48">
        <v>542</v>
      </c>
      <c r="C547" s="56" t="s">
        <v>65</v>
      </c>
      <c r="D547" s="56" t="s">
        <v>4</v>
      </c>
      <c r="E547" s="56">
        <v>20</v>
      </c>
      <c r="F547" s="57">
        <v>3595</v>
      </c>
      <c r="G547" s="58">
        <v>3.5999999999999997E-2</v>
      </c>
      <c r="H547" s="59" t="s">
        <v>195</v>
      </c>
      <c r="I547" s="43">
        <f t="shared" si="16"/>
        <v>328400</v>
      </c>
      <c r="J547" s="49">
        <f t="shared" si="17"/>
        <v>326400</v>
      </c>
      <c r="K547" s="60">
        <v>305000</v>
      </c>
      <c r="L547" s="3"/>
    </row>
    <row r="548" spans="2:12" ht="12" customHeight="1">
      <c r="B548" s="48">
        <v>543</v>
      </c>
      <c r="C548" s="56" t="s">
        <v>65</v>
      </c>
      <c r="D548" s="56" t="s">
        <v>4</v>
      </c>
      <c r="E548" s="56">
        <v>20</v>
      </c>
      <c r="F548" s="57">
        <v>5300</v>
      </c>
      <c r="G548" s="58">
        <f>0.485-0.05-0.013-0.012-0.026</f>
        <v>0.38399999999999995</v>
      </c>
      <c r="H548" s="59" t="s">
        <v>195</v>
      </c>
      <c r="I548" s="43">
        <f t="shared" si="16"/>
        <v>328400</v>
      </c>
      <c r="J548" s="49">
        <f t="shared" si="17"/>
        <v>326400</v>
      </c>
      <c r="K548" s="60">
        <v>305000</v>
      </c>
      <c r="L548" s="3"/>
    </row>
    <row r="549" spans="2:12" ht="12" customHeight="1">
      <c r="B549" s="48">
        <v>544</v>
      </c>
      <c r="C549" s="56" t="s">
        <v>65</v>
      </c>
      <c r="D549" s="56" t="s">
        <v>4</v>
      </c>
      <c r="E549" s="56">
        <v>21</v>
      </c>
      <c r="F549" s="57">
        <v>3175</v>
      </c>
      <c r="G549" s="58">
        <f>0.11-0.05</f>
        <v>0.06</v>
      </c>
      <c r="H549" s="59" t="s">
        <v>195</v>
      </c>
      <c r="I549" s="43">
        <f t="shared" si="16"/>
        <v>328400</v>
      </c>
      <c r="J549" s="49">
        <f t="shared" si="17"/>
        <v>326400</v>
      </c>
      <c r="K549" s="60">
        <v>305000</v>
      </c>
      <c r="L549" s="3"/>
    </row>
    <row r="550" spans="2:12" ht="12" customHeight="1">
      <c r="B550" s="48">
        <v>545</v>
      </c>
      <c r="C550" s="56" t="s">
        <v>65</v>
      </c>
      <c r="D550" s="56" t="s">
        <v>4</v>
      </c>
      <c r="E550" s="56">
        <v>24</v>
      </c>
      <c r="F550" s="57">
        <v>3070</v>
      </c>
      <c r="G550" s="58">
        <v>1.0999999999999999E-2</v>
      </c>
      <c r="H550" s="59" t="s">
        <v>195</v>
      </c>
      <c r="I550" s="43">
        <f t="shared" si="16"/>
        <v>328400</v>
      </c>
      <c r="J550" s="49">
        <f t="shared" si="17"/>
        <v>326400</v>
      </c>
      <c r="K550" s="60">
        <v>305000</v>
      </c>
      <c r="L550" s="3"/>
    </row>
    <row r="551" spans="2:12" ht="12" customHeight="1">
      <c r="B551" s="48">
        <v>546</v>
      </c>
      <c r="C551" s="56" t="s">
        <v>65</v>
      </c>
      <c r="D551" s="56" t="s">
        <v>4</v>
      </c>
      <c r="E551" s="56">
        <v>32</v>
      </c>
      <c r="F551" s="57">
        <v>1500</v>
      </c>
      <c r="G551" s="58">
        <v>0.01</v>
      </c>
      <c r="H551" s="59" t="s">
        <v>195</v>
      </c>
      <c r="I551" s="43">
        <f t="shared" si="16"/>
        <v>328400</v>
      </c>
      <c r="J551" s="49">
        <f t="shared" si="17"/>
        <v>326400</v>
      </c>
      <c r="K551" s="60">
        <v>305000</v>
      </c>
      <c r="L551" s="3"/>
    </row>
    <row r="552" spans="2:12" ht="12" customHeight="1">
      <c r="B552" s="48">
        <v>547</v>
      </c>
      <c r="C552" s="56" t="s">
        <v>65</v>
      </c>
      <c r="D552" s="56" t="s">
        <v>4</v>
      </c>
      <c r="E552" s="56">
        <v>32</v>
      </c>
      <c r="F552" s="57">
        <v>3380</v>
      </c>
      <c r="G552" s="58">
        <f>0.36-0.021-0.126-0.042-0.105</f>
        <v>6.5999999999999961E-2</v>
      </c>
      <c r="H552" s="59" t="s">
        <v>195</v>
      </c>
      <c r="I552" s="43">
        <f t="shared" si="16"/>
        <v>328400</v>
      </c>
      <c r="J552" s="49">
        <f t="shared" si="17"/>
        <v>326400</v>
      </c>
      <c r="K552" s="60">
        <v>305000</v>
      </c>
      <c r="L552" s="3"/>
    </row>
    <row r="553" spans="2:12" s="2" customFormat="1" ht="12" customHeight="1">
      <c r="B553" s="48">
        <v>548</v>
      </c>
      <c r="C553" s="56" t="s">
        <v>65</v>
      </c>
      <c r="D553" s="56" t="s">
        <v>4</v>
      </c>
      <c r="E553" s="56">
        <v>34</v>
      </c>
      <c r="F553" s="57">
        <v>3210</v>
      </c>
      <c r="G553" s="58">
        <v>2.3E-2</v>
      </c>
      <c r="H553" s="59" t="s">
        <v>195</v>
      </c>
      <c r="I553" s="43">
        <f t="shared" si="16"/>
        <v>328400</v>
      </c>
      <c r="J553" s="49">
        <f t="shared" si="17"/>
        <v>326400</v>
      </c>
      <c r="K553" s="60">
        <v>305000</v>
      </c>
      <c r="L553" s="3"/>
    </row>
    <row r="554" spans="2:12" s="2" customFormat="1" ht="12" customHeight="1">
      <c r="B554" s="48">
        <v>549</v>
      </c>
      <c r="C554" s="56" t="s">
        <v>65</v>
      </c>
      <c r="D554" s="56" t="s">
        <v>4</v>
      </c>
      <c r="E554" s="56">
        <v>35</v>
      </c>
      <c r="F554" s="57">
        <v>1240</v>
      </c>
      <c r="G554" s="58">
        <v>8.9999999999999993E-3</v>
      </c>
      <c r="H554" s="59" t="s">
        <v>195</v>
      </c>
      <c r="I554" s="43">
        <f t="shared" si="16"/>
        <v>328400</v>
      </c>
      <c r="J554" s="49">
        <f t="shared" si="17"/>
        <v>326400</v>
      </c>
      <c r="K554" s="60">
        <v>305000</v>
      </c>
    </row>
    <row r="555" spans="2:12" s="2" customFormat="1" ht="12" customHeight="1">
      <c r="B555" s="48">
        <v>550</v>
      </c>
      <c r="C555" s="56" t="s">
        <v>65</v>
      </c>
      <c r="D555" s="56" t="s">
        <v>4</v>
      </c>
      <c r="E555" s="56">
        <v>35</v>
      </c>
      <c r="F555" s="57">
        <v>1905</v>
      </c>
      <c r="G555" s="58">
        <v>0.03</v>
      </c>
      <c r="H555" s="59" t="s">
        <v>195</v>
      </c>
      <c r="I555" s="43">
        <f t="shared" si="16"/>
        <v>328400</v>
      </c>
      <c r="J555" s="49">
        <f t="shared" si="17"/>
        <v>326400</v>
      </c>
      <c r="K555" s="60">
        <v>305000</v>
      </c>
    </row>
    <row r="556" spans="2:12" s="2" customFormat="1" ht="12" customHeight="1">
      <c r="B556" s="48">
        <v>551</v>
      </c>
      <c r="C556" s="56" t="s">
        <v>65</v>
      </c>
      <c r="D556" s="56" t="s">
        <v>4</v>
      </c>
      <c r="E556" s="56">
        <v>45</v>
      </c>
      <c r="F556" s="57">
        <v>740</v>
      </c>
      <c r="G556" s="58">
        <v>8.9999999999999993E-3</v>
      </c>
      <c r="H556" s="59" t="s">
        <v>195</v>
      </c>
      <c r="I556" s="43">
        <f t="shared" si="16"/>
        <v>328400</v>
      </c>
      <c r="J556" s="49">
        <f t="shared" si="17"/>
        <v>326400</v>
      </c>
      <c r="K556" s="60">
        <v>305000</v>
      </c>
    </row>
    <row r="557" spans="2:12" s="2" customFormat="1" ht="12" customHeight="1">
      <c r="B557" s="48">
        <v>552</v>
      </c>
      <c r="C557" s="56" t="s">
        <v>65</v>
      </c>
      <c r="D557" s="56" t="s">
        <v>4</v>
      </c>
      <c r="E557" s="56">
        <v>55</v>
      </c>
      <c r="F557" s="57">
        <v>1550</v>
      </c>
      <c r="G557" s="58">
        <v>5.6000000000000001E-2</v>
      </c>
      <c r="H557" s="59" t="s">
        <v>260</v>
      </c>
      <c r="I557" s="43">
        <f t="shared" si="16"/>
        <v>328400</v>
      </c>
      <c r="J557" s="49">
        <f t="shared" si="17"/>
        <v>326400</v>
      </c>
      <c r="K557" s="60">
        <v>305000</v>
      </c>
    </row>
    <row r="558" spans="2:12" s="2" customFormat="1" ht="12" customHeight="1">
      <c r="B558" s="48">
        <v>553</v>
      </c>
      <c r="C558" s="56" t="s">
        <v>65</v>
      </c>
      <c r="D558" s="56" t="s">
        <v>4</v>
      </c>
      <c r="E558" s="56">
        <v>60</v>
      </c>
      <c r="F558" s="57">
        <v>3020</v>
      </c>
      <c r="G558" s="58">
        <f>0.785-0.047-0.129-0.064-0.065-0.064-0.076-0.272</f>
        <v>6.7999999999999894E-2</v>
      </c>
      <c r="H558" s="59" t="s">
        <v>195</v>
      </c>
      <c r="I558" s="43">
        <f t="shared" si="16"/>
        <v>328400</v>
      </c>
      <c r="J558" s="49">
        <f t="shared" si="17"/>
        <v>326400</v>
      </c>
      <c r="K558" s="60">
        <v>305000</v>
      </c>
    </row>
    <row r="559" spans="2:12" ht="12" customHeight="1">
      <c r="B559" s="48">
        <v>554</v>
      </c>
      <c r="C559" s="56" t="s">
        <v>65</v>
      </c>
      <c r="D559" s="56" t="s">
        <v>4</v>
      </c>
      <c r="E559" s="56">
        <v>60</v>
      </c>
      <c r="F559" s="57">
        <v>2300</v>
      </c>
      <c r="G559" s="58">
        <f>0.75-0.16-0.11-0.056-0.06</f>
        <v>0.36399999999999999</v>
      </c>
      <c r="H559" s="59" t="s">
        <v>195</v>
      </c>
      <c r="I559" s="43">
        <f t="shared" si="16"/>
        <v>328400</v>
      </c>
      <c r="J559" s="49">
        <f t="shared" si="17"/>
        <v>326400</v>
      </c>
      <c r="K559" s="60">
        <v>305000</v>
      </c>
      <c r="L559" s="2"/>
    </row>
    <row r="560" spans="2:12" ht="12" customHeight="1">
      <c r="B560" s="48">
        <v>555</v>
      </c>
      <c r="C560" s="56" t="s">
        <v>65</v>
      </c>
      <c r="D560" s="56" t="s">
        <v>4</v>
      </c>
      <c r="E560" s="56">
        <v>60</v>
      </c>
      <c r="F560" s="57">
        <v>2515</v>
      </c>
      <c r="G560" s="58">
        <f>0.915-0.54</f>
        <v>0.375</v>
      </c>
      <c r="H560" s="59" t="s">
        <v>195</v>
      </c>
      <c r="I560" s="43">
        <f t="shared" si="16"/>
        <v>328400</v>
      </c>
      <c r="J560" s="49">
        <f t="shared" si="17"/>
        <v>326400</v>
      </c>
      <c r="K560" s="60">
        <v>305000</v>
      </c>
      <c r="L560" s="3"/>
    </row>
    <row r="561" spans="2:12" ht="12" customHeight="1">
      <c r="B561" s="48">
        <v>556</v>
      </c>
      <c r="C561" s="56" t="s">
        <v>65</v>
      </c>
      <c r="D561" s="56" t="s">
        <v>4</v>
      </c>
      <c r="E561" s="56">
        <v>60</v>
      </c>
      <c r="F561" s="57">
        <v>2700</v>
      </c>
      <c r="G561" s="58">
        <v>0.97</v>
      </c>
      <c r="H561" s="59" t="s">
        <v>195</v>
      </c>
      <c r="I561" s="43">
        <f t="shared" si="16"/>
        <v>328400</v>
      </c>
      <c r="J561" s="49">
        <f t="shared" si="17"/>
        <v>326400</v>
      </c>
      <c r="K561" s="60">
        <v>305000</v>
      </c>
      <c r="L561" s="3"/>
    </row>
    <row r="562" spans="2:12" ht="12" customHeight="1">
      <c r="B562" s="48">
        <v>557</v>
      </c>
      <c r="C562" s="56" t="s">
        <v>65</v>
      </c>
      <c r="D562" s="56" t="s">
        <v>4</v>
      </c>
      <c r="E562" s="56">
        <v>60</v>
      </c>
      <c r="F562" s="57">
        <v>2825</v>
      </c>
      <c r="G562" s="58">
        <v>0.193</v>
      </c>
      <c r="H562" s="59" t="s">
        <v>195</v>
      </c>
      <c r="I562" s="43">
        <f t="shared" si="16"/>
        <v>328400</v>
      </c>
      <c r="J562" s="49">
        <f t="shared" si="17"/>
        <v>326400</v>
      </c>
      <c r="K562" s="60">
        <v>305000</v>
      </c>
      <c r="L562" s="3"/>
    </row>
    <row r="563" spans="2:12" ht="12" customHeight="1">
      <c r="B563" s="48">
        <v>558</v>
      </c>
      <c r="C563" s="56" t="s">
        <v>65</v>
      </c>
      <c r="D563" s="56" t="s">
        <v>4</v>
      </c>
      <c r="E563" s="56">
        <v>80</v>
      </c>
      <c r="F563" s="57">
        <v>135</v>
      </c>
      <c r="G563" s="58">
        <f>0.005+0.007+0.013+0.019+0.02+0.021+0.036</f>
        <v>0.121</v>
      </c>
      <c r="H563" s="59" t="s">
        <v>195</v>
      </c>
      <c r="I563" s="43">
        <f t="shared" si="16"/>
        <v>328400</v>
      </c>
      <c r="J563" s="49">
        <f t="shared" si="17"/>
        <v>326400</v>
      </c>
      <c r="K563" s="60">
        <v>305000</v>
      </c>
      <c r="L563" s="3"/>
    </row>
    <row r="564" spans="2:12" ht="12" customHeight="1">
      <c r="B564" s="48">
        <v>559</v>
      </c>
      <c r="C564" s="56" t="s">
        <v>65</v>
      </c>
      <c r="D564" s="56" t="s">
        <v>4</v>
      </c>
      <c r="E564" s="56">
        <v>80</v>
      </c>
      <c r="F564" s="57">
        <v>2350</v>
      </c>
      <c r="G564" s="58">
        <v>0.49</v>
      </c>
      <c r="H564" s="59" t="s">
        <v>195</v>
      </c>
      <c r="I564" s="43">
        <f t="shared" si="16"/>
        <v>328400</v>
      </c>
      <c r="J564" s="49">
        <f t="shared" si="17"/>
        <v>326400</v>
      </c>
      <c r="K564" s="60">
        <v>305000</v>
      </c>
      <c r="L564" s="3"/>
    </row>
    <row r="565" spans="2:12" ht="12" customHeight="1">
      <c r="B565" s="48">
        <v>560</v>
      </c>
      <c r="C565" s="56" t="s">
        <v>65</v>
      </c>
      <c r="D565" s="56" t="s">
        <v>4</v>
      </c>
      <c r="E565" s="56">
        <v>80</v>
      </c>
      <c r="F565" s="57">
        <v>3050</v>
      </c>
      <c r="G565" s="58">
        <f>1.115-0.12-0.119-0.238-0.123-0.125</f>
        <v>0.39</v>
      </c>
      <c r="H565" s="59" t="s">
        <v>195</v>
      </c>
      <c r="I565" s="43">
        <f t="shared" si="16"/>
        <v>328400</v>
      </c>
      <c r="J565" s="49">
        <f t="shared" si="17"/>
        <v>326400</v>
      </c>
      <c r="K565" s="60">
        <v>305000</v>
      </c>
      <c r="L565" s="3"/>
    </row>
    <row r="566" spans="2:12" ht="12" customHeight="1">
      <c r="B566" s="48">
        <v>561</v>
      </c>
      <c r="C566" s="56" t="s">
        <v>65</v>
      </c>
      <c r="D566" s="56" t="s">
        <v>4</v>
      </c>
      <c r="E566" s="56">
        <v>80</v>
      </c>
      <c r="F566" s="57">
        <v>3190</v>
      </c>
      <c r="G566" s="58">
        <f>0.505-0.25</f>
        <v>0.255</v>
      </c>
      <c r="H566" s="59" t="s">
        <v>195</v>
      </c>
      <c r="I566" s="43">
        <f t="shared" si="16"/>
        <v>328400</v>
      </c>
      <c r="J566" s="49">
        <f t="shared" si="17"/>
        <v>326400</v>
      </c>
      <c r="K566" s="60">
        <v>305000</v>
      </c>
      <c r="L566" s="3"/>
    </row>
    <row r="567" spans="2:12" ht="12" customHeight="1">
      <c r="B567" s="48">
        <v>562</v>
      </c>
      <c r="C567" s="56" t="s">
        <v>65</v>
      </c>
      <c r="D567" s="56" t="s">
        <v>4</v>
      </c>
      <c r="E567" s="56">
        <v>80</v>
      </c>
      <c r="F567" s="57">
        <v>2035</v>
      </c>
      <c r="G567" s="58">
        <f>0.131-0.052</f>
        <v>7.9000000000000015E-2</v>
      </c>
      <c r="H567" s="59" t="s">
        <v>195</v>
      </c>
      <c r="I567" s="43">
        <f t="shared" si="16"/>
        <v>328400</v>
      </c>
      <c r="J567" s="49">
        <f t="shared" si="17"/>
        <v>326400</v>
      </c>
      <c r="K567" s="60">
        <v>305000</v>
      </c>
      <c r="L567" s="3"/>
    </row>
    <row r="568" spans="2:12" ht="12" customHeight="1">
      <c r="B568" s="48">
        <v>563</v>
      </c>
      <c r="C568" s="56" t="s">
        <v>65</v>
      </c>
      <c r="D568" s="56" t="s">
        <v>4</v>
      </c>
      <c r="E568" s="56">
        <v>80</v>
      </c>
      <c r="F568" s="57">
        <v>3600</v>
      </c>
      <c r="G568" s="58">
        <f>1.04-0.153</f>
        <v>0.88700000000000001</v>
      </c>
      <c r="H568" s="59" t="s">
        <v>195</v>
      </c>
      <c r="I568" s="43">
        <f t="shared" si="16"/>
        <v>328400</v>
      </c>
      <c r="J568" s="49">
        <f t="shared" si="17"/>
        <v>326400</v>
      </c>
      <c r="K568" s="60">
        <v>305000</v>
      </c>
      <c r="L568" s="3"/>
    </row>
    <row r="569" spans="2:12" ht="12" customHeight="1">
      <c r="B569" s="48">
        <v>564</v>
      </c>
      <c r="C569" s="56" t="s">
        <v>65</v>
      </c>
      <c r="D569" s="56" t="s">
        <v>4</v>
      </c>
      <c r="E569" s="56">
        <v>84</v>
      </c>
      <c r="F569" s="57">
        <v>1760</v>
      </c>
      <c r="G569" s="58">
        <v>7.5999999999999998E-2</v>
      </c>
      <c r="H569" s="59" t="s">
        <v>260</v>
      </c>
      <c r="I569" s="43">
        <f t="shared" si="16"/>
        <v>328400</v>
      </c>
      <c r="J569" s="49">
        <f t="shared" si="17"/>
        <v>326400</v>
      </c>
      <c r="K569" s="60">
        <v>305000</v>
      </c>
      <c r="L569" s="3"/>
    </row>
    <row r="570" spans="2:12" ht="12" customHeight="1">
      <c r="B570" s="48">
        <v>565</v>
      </c>
      <c r="C570" s="56" t="s">
        <v>65</v>
      </c>
      <c r="D570" s="56" t="s">
        <v>4</v>
      </c>
      <c r="E570" s="56">
        <v>95</v>
      </c>
      <c r="F570" s="57">
        <v>2540</v>
      </c>
      <c r="G570" s="58">
        <f>0.166-0.008-0.016</f>
        <v>0.14200000000000002</v>
      </c>
      <c r="H570" s="59" t="s">
        <v>195</v>
      </c>
      <c r="I570" s="43">
        <f t="shared" si="16"/>
        <v>328400</v>
      </c>
      <c r="J570" s="49">
        <f t="shared" si="17"/>
        <v>326400</v>
      </c>
      <c r="K570" s="60">
        <v>305000</v>
      </c>
      <c r="L570" s="5"/>
    </row>
    <row r="571" spans="2:12" ht="12" customHeight="1">
      <c r="B571" s="48">
        <v>566</v>
      </c>
      <c r="C571" s="56" t="s">
        <v>65</v>
      </c>
      <c r="D571" s="56" t="s">
        <v>4</v>
      </c>
      <c r="E571" s="56">
        <v>100</v>
      </c>
      <c r="F571" s="57">
        <v>3655</v>
      </c>
      <c r="G571" s="58">
        <v>0.22500000000000001</v>
      </c>
      <c r="H571" s="59" t="s">
        <v>195</v>
      </c>
      <c r="I571" s="43">
        <f t="shared" si="16"/>
        <v>328400</v>
      </c>
      <c r="J571" s="49">
        <f t="shared" si="17"/>
        <v>326400</v>
      </c>
      <c r="K571" s="60">
        <v>305000</v>
      </c>
      <c r="L571" s="3"/>
    </row>
    <row r="572" spans="2:12" ht="12" customHeight="1">
      <c r="B572" s="48">
        <v>567</v>
      </c>
      <c r="C572" s="56" t="s">
        <v>65</v>
      </c>
      <c r="D572" s="56" t="s">
        <v>4</v>
      </c>
      <c r="E572" s="56">
        <v>100</v>
      </c>
      <c r="F572" s="57">
        <v>4390</v>
      </c>
      <c r="G572" s="58">
        <v>0.26700000000000002</v>
      </c>
      <c r="H572" s="59" t="s">
        <v>195</v>
      </c>
      <c r="I572" s="43">
        <f t="shared" si="16"/>
        <v>328400</v>
      </c>
      <c r="J572" s="49">
        <f t="shared" si="17"/>
        <v>326400</v>
      </c>
      <c r="K572" s="60">
        <v>305000</v>
      </c>
      <c r="L572" s="3"/>
    </row>
    <row r="573" spans="2:12" ht="12" customHeight="1">
      <c r="B573" s="48">
        <v>568</v>
      </c>
      <c r="C573" s="56" t="s">
        <v>65</v>
      </c>
      <c r="D573" s="56" t="s">
        <v>4</v>
      </c>
      <c r="E573" s="56">
        <v>100</v>
      </c>
      <c r="F573" s="57">
        <v>3957</v>
      </c>
      <c r="G573" s="58">
        <v>0.24299999999999999</v>
      </c>
      <c r="H573" s="59" t="s">
        <v>195</v>
      </c>
      <c r="I573" s="43">
        <f t="shared" si="16"/>
        <v>328400</v>
      </c>
      <c r="J573" s="49">
        <f t="shared" si="17"/>
        <v>326400</v>
      </c>
      <c r="K573" s="60">
        <v>305000</v>
      </c>
      <c r="L573" s="3"/>
    </row>
    <row r="574" spans="2:12" ht="12" customHeight="1">
      <c r="B574" s="48">
        <v>569</v>
      </c>
      <c r="C574" s="56" t="s">
        <v>65</v>
      </c>
      <c r="D574" s="56" t="s">
        <v>4</v>
      </c>
      <c r="E574" s="56">
        <v>105</v>
      </c>
      <c r="F574" s="57">
        <v>140</v>
      </c>
      <c r="G574" s="58">
        <v>8.9999999999999993E-3</v>
      </c>
      <c r="H574" s="59" t="s">
        <v>195</v>
      </c>
      <c r="I574" s="43">
        <f t="shared" si="16"/>
        <v>328400</v>
      </c>
      <c r="J574" s="49">
        <f t="shared" si="17"/>
        <v>326400</v>
      </c>
      <c r="K574" s="60">
        <v>305000</v>
      </c>
      <c r="L574" s="3"/>
    </row>
    <row r="575" spans="2:12" ht="12" customHeight="1">
      <c r="B575" s="48">
        <v>570</v>
      </c>
      <c r="C575" s="56" t="s">
        <v>65</v>
      </c>
      <c r="D575" s="56" t="s">
        <v>4</v>
      </c>
      <c r="E575" s="56">
        <v>110</v>
      </c>
      <c r="F575" s="57">
        <v>605</v>
      </c>
      <c r="G575" s="58">
        <v>4.3999999999999997E-2</v>
      </c>
      <c r="H575" s="59" t="s">
        <v>195</v>
      </c>
      <c r="I575" s="43">
        <f t="shared" si="16"/>
        <v>328400</v>
      </c>
      <c r="J575" s="49">
        <f t="shared" si="17"/>
        <v>326400</v>
      </c>
      <c r="K575" s="60">
        <v>305000</v>
      </c>
      <c r="L575" s="3"/>
    </row>
    <row r="576" spans="2:12" ht="12" customHeight="1">
      <c r="B576" s="48">
        <v>571</v>
      </c>
      <c r="C576" s="56" t="s">
        <v>65</v>
      </c>
      <c r="D576" s="56" t="s">
        <v>4</v>
      </c>
      <c r="E576" s="56">
        <v>110</v>
      </c>
      <c r="F576" s="57">
        <v>2980</v>
      </c>
      <c r="G576" s="58">
        <v>0.45</v>
      </c>
      <c r="H576" s="59" t="s">
        <v>195</v>
      </c>
      <c r="I576" s="43">
        <f t="shared" si="16"/>
        <v>328400</v>
      </c>
      <c r="J576" s="49">
        <f t="shared" si="17"/>
        <v>326400</v>
      </c>
      <c r="K576" s="60">
        <v>305000</v>
      </c>
      <c r="L576" s="3"/>
    </row>
    <row r="577" spans="1:12" ht="12" customHeight="1">
      <c r="B577" s="48">
        <v>572</v>
      </c>
      <c r="C577" s="56" t="s">
        <v>65</v>
      </c>
      <c r="D577" s="56" t="s">
        <v>4</v>
      </c>
      <c r="E577" s="56">
        <v>110</v>
      </c>
      <c r="F577" s="57">
        <v>3110</v>
      </c>
      <c r="G577" s="58">
        <f>0.475-0.24</f>
        <v>0.23499999999999999</v>
      </c>
      <c r="H577" s="59" t="s">
        <v>195</v>
      </c>
      <c r="I577" s="43">
        <f t="shared" si="16"/>
        <v>328400</v>
      </c>
      <c r="J577" s="49">
        <f t="shared" si="17"/>
        <v>326400</v>
      </c>
      <c r="K577" s="60">
        <v>305000</v>
      </c>
      <c r="L577" s="3"/>
    </row>
    <row r="578" spans="1:12" customFormat="1" ht="12" customHeight="1">
      <c r="A578" s="4"/>
      <c r="B578" s="48">
        <v>573</v>
      </c>
      <c r="C578" s="56" t="s">
        <v>65</v>
      </c>
      <c r="D578" s="56" t="s">
        <v>4</v>
      </c>
      <c r="E578" s="56">
        <v>125</v>
      </c>
      <c r="F578" s="57">
        <v>2395</v>
      </c>
      <c r="G578" s="58">
        <f>0.96-0.115</f>
        <v>0.84499999999999997</v>
      </c>
      <c r="H578" s="59" t="s">
        <v>195</v>
      </c>
      <c r="I578" s="43">
        <f t="shared" si="16"/>
        <v>328400</v>
      </c>
      <c r="J578" s="49">
        <f t="shared" si="17"/>
        <v>326400</v>
      </c>
      <c r="K578" s="60">
        <v>305000</v>
      </c>
      <c r="L578" s="3"/>
    </row>
    <row r="579" spans="1:12" customFormat="1" ht="12" customHeight="1">
      <c r="A579" s="4"/>
      <c r="B579" s="48">
        <v>574</v>
      </c>
      <c r="C579" s="56" t="s">
        <v>65</v>
      </c>
      <c r="D579" s="56" t="s">
        <v>4</v>
      </c>
      <c r="E579" s="56">
        <v>135</v>
      </c>
      <c r="F579" s="57">
        <v>3550</v>
      </c>
      <c r="G579" s="58">
        <v>0.39300000000000002</v>
      </c>
      <c r="H579" s="59" t="s">
        <v>195</v>
      </c>
      <c r="I579" s="43">
        <f t="shared" si="16"/>
        <v>328400</v>
      </c>
      <c r="J579" s="49">
        <f t="shared" si="17"/>
        <v>326400</v>
      </c>
      <c r="K579" s="60">
        <v>305000</v>
      </c>
    </row>
    <row r="580" spans="1:12" customFormat="1" ht="12" customHeight="1">
      <c r="A580" s="4"/>
      <c r="B580" s="48">
        <v>575</v>
      </c>
      <c r="C580" s="56" t="s">
        <v>65</v>
      </c>
      <c r="D580" s="56" t="s">
        <v>4</v>
      </c>
      <c r="E580" s="56">
        <v>140</v>
      </c>
      <c r="F580" s="57">
        <v>225</v>
      </c>
      <c r="G580" s="58">
        <v>2.5999999999999999E-2</v>
      </c>
      <c r="H580" s="59" t="s">
        <v>195</v>
      </c>
      <c r="I580" s="43">
        <f t="shared" si="16"/>
        <v>328400</v>
      </c>
      <c r="J580" s="49">
        <f t="shared" si="17"/>
        <v>326400</v>
      </c>
      <c r="K580" s="60">
        <v>305000</v>
      </c>
    </row>
    <row r="581" spans="1:12" ht="12" customHeight="1">
      <c r="B581" s="48">
        <v>576</v>
      </c>
      <c r="C581" s="56" t="s">
        <v>65</v>
      </c>
      <c r="D581" s="56" t="s">
        <v>4</v>
      </c>
      <c r="E581" s="56">
        <v>140</v>
      </c>
      <c r="F581" s="57">
        <v>225</v>
      </c>
      <c r="G581" s="58">
        <v>2.5999999999999999E-2</v>
      </c>
      <c r="H581" s="59" t="s">
        <v>195</v>
      </c>
      <c r="I581" s="43">
        <f t="shared" si="16"/>
        <v>328400</v>
      </c>
      <c r="J581" s="49">
        <f t="shared" si="17"/>
        <v>326400</v>
      </c>
      <c r="K581" s="60">
        <v>305000</v>
      </c>
      <c r="L581"/>
    </row>
    <row r="582" spans="1:12" ht="12" customHeight="1">
      <c r="B582" s="48">
        <v>577</v>
      </c>
      <c r="C582" s="56" t="s">
        <v>65</v>
      </c>
      <c r="D582" s="56" t="s">
        <v>4</v>
      </c>
      <c r="E582" s="56">
        <v>140</v>
      </c>
      <c r="F582" s="57">
        <v>230</v>
      </c>
      <c r="G582" s="58">
        <v>2.7E-2</v>
      </c>
      <c r="H582" s="59" t="s">
        <v>195</v>
      </c>
      <c r="I582" s="43">
        <f t="shared" ref="I582:I645" si="18">J582+2000</f>
        <v>328400</v>
      </c>
      <c r="J582" s="49">
        <f t="shared" si="17"/>
        <v>326400</v>
      </c>
      <c r="K582" s="60">
        <v>305000</v>
      </c>
      <c r="L582" s="3"/>
    </row>
    <row r="583" spans="1:12" ht="12" customHeight="1">
      <c r="B583" s="48">
        <v>578</v>
      </c>
      <c r="C583" s="56" t="s">
        <v>65</v>
      </c>
      <c r="D583" s="56" t="s">
        <v>4</v>
      </c>
      <c r="E583" s="56">
        <v>148</v>
      </c>
      <c r="F583" s="57">
        <v>1405</v>
      </c>
      <c r="G583" s="58">
        <v>0.187</v>
      </c>
      <c r="H583" s="59" t="s">
        <v>195</v>
      </c>
      <c r="I583" s="43">
        <f t="shared" si="18"/>
        <v>328400</v>
      </c>
      <c r="J583" s="49">
        <f t="shared" ref="J583:J646" si="19">ROUNDUP(K583*1.07,-2)</f>
        <v>326400</v>
      </c>
      <c r="K583" s="60">
        <v>305000</v>
      </c>
      <c r="L583" s="3"/>
    </row>
    <row r="584" spans="1:12" ht="12" customHeight="1">
      <c r="B584" s="48">
        <v>579</v>
      </c>
      <c r="C584" s="56" t="s">
        <v>65</v>
      </c>
      <c r="D584" s="56" t="s">
        <v>4</v>
      </c>
      <c r="E584" s="56">
        <v>170</v>
      </c>
      <c r="F584" s="57">
        <v>1520</v>
      </c>
      <c r="G584" s="58">
        <v>0.26700000000000002</v>
      </c>
      <c r="H584" s="59" t="s">
        <v>195</v>
      </c>
      <c r="I584" s="43">
        <f t="shared" si="18"/>
        <v>328400</v>
      </c>
      <c r="J584" s="49">
        <f t="shared" si="19"/>
        <v>326400</v>
      </c>
      <c r="K584" s="60">
        <v>305000</v>
      </c>
      <c r="L584" s="3"/>
    </row>
    <row r="585" spans="1:12" ht="12" customHeight="1">
      <c r="B585" s="48">
        <v>580</v>
      </c>
      <c r="C585" s="56" t="s">
        <v>65</v>
      </c>
      <c r="D585" s="56" t="s">
        <v>4</v>
      </c>
      <c r="E585" s="56">
        <v>180</v>
      </c>
      <c r="F585" s="57">
        <v>110</v>
      </c>
      <c r="G585" s="58">
        <v>2.1999999999999999E-2</v>
      </c>
      <c r="H585" s="59" t="s">
        <v>195</v>
      </c>
      <c r="I585" s="43">
        <f t="shared" si="18"/>
        <v>328400</v>
      </c>
      <c r="J585" s="49">
        <f t="shared" si="19"/>
        <v>326400</v>
      </c>
      <c r="K585" s="60">
        <v>305000</v>
      </c>
      <c r="L585" s="3"/>
    </row>
    <row r="586" spans="1:12" s="2" customFormat="1" ht="12" customHeight="1">
      <c r="B586" s="48">
        <v>581</v>
      </c>
      <c r="C586" s="56" t="s">
        <v>65</v>
      </c>
      <c r="D586" s="56" t="s">
        <v>4</v>
      </c>
      <c r="E586" s="56">
        <v>180</v>
      </c>
      <c r="F586" s="57">
        <v>70</v>
      </c>
      <c r="G586" s="58">
        <f>0.021-0.008</f>
        <v>1.3000000000000001E-2</v>
      </c>
      <c r="H586" s="59" t="s">
        <v>195</v>
      </c>
      <c r="I586" s="43">
        <f t="shared" si="18"/>
        <v>328400</v>
      </c>
      <c r="J586" s="49">
        <f t="shared" si="19"/>
        <v>326400</v>
      </c>
      <c r="K586" s="60">
        <v>305000</v>
      </c>
      <c r="L586" s="5"/>
    </row>
    <row r="587" spans="1:12" ht="12" customHeight="1">
      <c r="B587" s="48">
        <v>582</v>
      </c>
      <c r="C587" s="56" t="s">
        <v>65</v>
      </c>
      <c r="D587" s="56" t="s">
        <v>4</v>
      </c>
      <c r="E587" s="56">
        <v>180</v>
      </c>
      <c r="F587" s="57">
        <v>115</v>
      </c>
      <c r="G587" s="58">
        <v>2.1000000000000001E-2</v>
      </c>
      <c r="H587" s="59" t="s">
        <v>195</v>
      </c>
      <c r="I587" s="43">
        <f t="shared" si="18"/>
        <v>328400</v>
      </c>
      <c r="J587" s="49">
        <f t="shared" si="19"/>
        <v>326400</v>
      </c>
      <c r="K587" s="60">
        <v>305000</v>
      </c>
      <c r="L587" s="2"/>
    </row>
    <row r="588" spans="1:12" ht="12" customHeight="1">
      <c r="B588" s="48">
        <v>583</v>
      </c>
      <c r="C588" s="56" t="s">
        <v>65</v>
      </c>
      <c r="D588" s="56" t="s">
        <v>4</v>
      </c>
      <c r="E588" s="56">
        <v>180</v>
      </c>
      <c r="F588" s="57">
        <v>115</v>
      </c>
      <c r="G588" s="58">
        <v>2.1999999999999999E-2</v>
      </c>
      <c r="H588" s="59" t="s">
        <v>195</v>
      </c>
      <c r="I588" s="43">
        <f t="shared" si="18"/>
        <v>328400</v>
      </c>
      <c r="J588" s="49">
        <f t="shared" si="19"/>
        <v>326400</v>
      </c>
      <c r="K588" s="60">
        <v>305000</v>
      </c>
      <c r="L588" s="3"/>
    </row>
    <row r="589" spans="1:12" ht="12" customHeight="1">
      <c r="B589" s="48">
        <v>584</v>
      </c>
      <c r="C589" s="56" t="s">
        <v>65</v>
      </c>
      <c r="D589" s="56" t="s">
        <v>4</v>
      </c>
      <c r="E589" s="56">
        <v>180</v>
      </c>
      <c r="F589" s="57">
        <v>215</v>
      </c>
      <c r="G589" s="58">
        <v>4.2999999999999997E-2</v>
      </c>
      <c r="H589" s="59" t="s">
        <v>195</v>
      </c>
      <c r="I589" s="43">
        <f t="shared" si="18"/>
        <v>328400</v>
      </c>
      <c r="J589" s="49">
        <f t="shared" si="19"/>
        <v>326400</v>
      </c>
      <c r="K589" s="60">
        <v>305000</v>
      </c>
      <c r="L589" s="3"/>
    </row>
    <row r="590" spans="1:12" ht="12" customHeight="1">
      <c r="B590" s="48">
        <v>585</v>
      </c>
      <c r="C590" s="56" t="s">
        <v>65</v>
      </c>
      <c r="D590" s="56" t="s">
        <v>4</v>
      </c>
      <c r="E590" s="56">
        <v>180</v>
      </c>
      <c r="F590" s="57">
        <v>1228</v>
      </c>
      <c r="G590" s="58">
        <v>0.245</v>
      </c>
      <c r="H590" s="59" t="s">
        <v>195</v>
      </c>
      <c r="I590" s="43">
        <f t="shared" si="18"/>
        <v>328400</v>
      </c>
      <c r="J590" s="49">
        <f t="shared" si="19"/>
        <v>326400</v>
      </c>
      <c r="K590" s="60">
        <v>305000</v>
      </c>
      <c r="L590" s="3"/>
    </row>
    <row r="591" spans="1:12" ht="12" customHeight="1">
      <c r="B591" s="48">
        <v>586</v>
      </c>
      <c r="C591" s="56" t="s">
        <v>65</v>
      </c>
      <c r="D591" s="56" t="s">
        <v>4</v>
      </c>
      <c r="E591" s="56">
        <v>420</v>
      </c>
      <c r="F591" s="57">
        <v>295</v>
      </c>
      <c r="G591" s="58">
        <v>0.45</v>
      </c>
      <c r="H591" s="59" t="s">
        <v>6</v>
      </c>
      <c r="I591" s="43">
        <f t="shared" si="18"/>
        <v>328400</v>
      </c>
      <c r="J591" s="49">
        <f t="shared" si="19"/>
        <v>326400</v>
      </c>
      <c r="K591" s="60">
        <v>305000</v>
      </c>
      <c r="L591" s="3"/>
    </row>
    <row r="592" spans="1:12" ht="12" customHeight="1">
      <c r="B592" s="48">
        <v>587</v>
      </c>
      <c r="C592" s="56" t="s">
        <v>66</v>
      </c>
      <c r="D592" s="56" t="s">
        <v>4</v>
      </c>
      <c r="E592" s="56">
        <v>120</v>
      </c>
      <c r="F592" s="57">
        <v>640</v>
      </c>
      <c r="G592" s="58">
        <v>5.6000000000000001E-2</v>
      </c>
      <c r="H592" s="59" t="s">
        <v>195</v>
      </c>
      <c r="I592" s="43">
        <f t="shared" si="18"/>
        <v>328400</v>
      </c>
      <c r="J592" s="49">
        <f t="shared" si="19"/>
        <v>326400</v>
      </c>
      <c r="K592" s="60">
        <v>305000</v>
      </c>
      <c r="L592" s="3"/>
    </row>
    <row r="593" spans="1:12" ht="12" customHeight="1">
      <c r="B593" s="48">
        <v>588</v>
      </c>
      <c r="C593" s="56" t="s">
        <v>300</v>
      </c>
      <c r="D593" s="56" t="s">
        <v>4</v>
      </c>
      <c r="E593" s="56">
        <v>42</v>
      </c>
      <c r="F593" s="57">
        <v>2110</v>
      </c>
      <c r="G593" s="58">
        <v>2.3E-2</v>
      </c>
      <c r="H593" s="59" t="s">
        <v>257</v>
      </c>
      <c r="I593" s="43">
        <f t="shared" si="18"/>
        <v>402800</v>
      </c>
      <c r="J593" s="49">
        <f t="shared" si="19"/>
        <v>400800</v>
      </c>
      <c r="K593" s="60">
        <v>374500</v>
      </c>
      <c r="L593" s="3"/>
    </row>
    <row r="594" spans="1:12" ht="12" customHeight="1">
      <c r="B594" s="48">
        <v>589</v>
      </c>
      <c r="C594" s="56" t="s">
        <v>67</v>
      </c>
      <c r="D594" s="56" t="s">
        <v>4</v>
      </c>
      <c r="E594" s="56">
        <v>290</v>
      </c>
      <c r="F594" s="57">
        <v>360</v>
      </c>
      <c r="G594" s="58">
        <v>0.19500000000000001</v>
      </c>
      <c r="H594" s="59" t="s">
        <v>34</v>
      </c>
      <c r="I594" s="43">
        <f t="shared" si="18"/>
        <v>219600</v>
      </c>
      <c r="J594" s="49">
        <f t="shared" si="19"/>
        <v>217600</v>
      </c>
      <c r="K594" s="60">
        <v>203300</v>
      </c>
      <c r="L594" s="3"/>
    </row>
    <row r="595" spans="1:12" s="5" customFormat="1" ht="12" customHeight="1">
      <c r="B595" s="48">
        <v>590</v>
      </c>
      <c r="C595" s="56" t="s">
        <v>68</v>
      </c>
      <c r="D595" s="56" t="s">
        <v>4</v>
      </c>
      <c r="E595" s="56">
        <v>50</v>
      </c>
      <c r="F595" s="57">
        <v>3510</v>
      </c>
      <c r="G595" s="58">
        <v>5.3999999999999999E-2</v>
      </c>
      <c r="H595" s="59"/>
      <c r="I595" s="43">
        <f t="shared" si="18"/>
        <v>67400</v>
      </c>
      <c r="J595" s="49">
        <f t="shared" si="19"/>
        <v>65400</v>
      </c>
      <c r="K595" s="60">
        <v>61100</v>
      </c>
      <c r="L595" s="3"/>
    </row>
    <row r="596" spans="1:12" ht="12" customHeight="1">
      <c r="B596" s="48">
        <v>591</v>
      </c>
      <c r="C596" s="56" t="s">
        <v>289</v>
      </c>
      <c r="D596" s="56" t="s">
        <v>4</v>
      </c>
      <c r="E596" s="56">
        <v>60</v>
      </c>
      <c r="F596" s="57">
        <v>2995</v>
      </c>
      <c r="G596" s="58">
        <v>6.6000000000000003E-2</v>
      </c>
      <c r="H596" s="59" t="s">
        <v>280</v>
      </c>
      <c r="I596" s="43">
        <f t="shared" si="18"/>
        <v>65100</v>
      </c>
      <c r="J596" s="49">
        <f t="shared" si="19"/>
        <v>63100</v>
      </c>
      <c r="K596" s="60">
        <v>58900</v>
      </c>
      <c r="L596" s="3"/>
    </row>
    <row r="597" spans="1:12" ht="12" customHeight="1">
      <c r="B597" s="48">
        <v>592</v>
      </c>
      <c r="C597" s="56" t="s">
        <v>69</v>
      </c>
      <c r="D597" s="56" t="s">
        <v>4</v>
      </c>
      <c r="E597" s="56">
        <v>10</v>
      </c>
      <c r="F597" s="57">
        <v>4050</v>
      </c>
      <c r="G597" s="58">
        <v>1.9E-2</v>
      </c>
      <c r="H597" s="59" t="s">
        <v>195</v>
      </c>
      <c r="I597" s="43">
        <f t="shared" si="18"/>
        <v>88000</v>
      </c>
      <c r="J597" s="49">
        <f t="shared" si="19"/>
        <v>86000</v>
      </c>
      <c r="K597" s="60">
        <v>80300</v>
      </c>
      <c r="L597" s="3"/>
    </row>
    <row r="598" spans="1:12" ht="12" customHeight="1">
      <c r="B598" s="48">
        <v>593</v>
      </c>
      <c r="C598" s="56" t="s">
        <v>69</v>
      </c>
      <c r="D598" s="56" t="s">
        <v>4</v>
      </c>
      <c r="E598" s="56">
        <v>80</v>
      </c>
      <c r="F598" s="57">
        <v>1535</v>
      </c>
      <c r="G598" s="58">
        <v>6.0999999999999999E-2</v>
      </c>
      <c r="H598" s="59" t="s">
        <v>195</v>
      </c>
      <c r="I598" s="43">
        <f t="shared" si="18"/>
        <v>88000</v>
      </c>
      <c r="J598" s="49">
        <f t="shared" si="19"/>
        <v>86000</v>
      </c>
      <c r="K598" s="60">
        <v>80300</v>
      </c>
      <c r="L598" s="3"/>
    </row>
    <row r="599" spans="1:12" ht="12" customHeight="1">
      <c r="B599" s="48">
        <v>594</v>
      </c>
      <c r="C599" s="56" t="s">
        <v>69</v>
      </c>
      <c r="D599" s="56" t="s">
        <v>4</v>
      </c>
      <c r="E599" s="56">
        <v>100</v>
      </c>
      <c r="F599" s="57">
        <v>2714</v>
      </c>
      <c r="G599" s="58">
        <v>0.16600000000000001</v>
      </c>
      <c r="H599" s="59" t="s">
        <v>195</v>
      </c>
      <c r="I599" s="43">
        <f t="shared" si="18"/>
        <v>99400</v>
      </c>
      <c r="J599" s="49">
        <f t="shared" si="19"/>
        <v>97400</v>
      </c>
      <c r="K599" s="60">
        <v>91000</v>
      </c>
      <c r="L599" s="3"/>
    </row>
    <row r="600" spans="1:12" ht="12" customHeight="1">
      <c r="B600" s="48">
        <v>595</v>
      </c>
      <c r="C600" s="56" t="s">
        <v>70</v>
      </c>
      <c r="D600" s="56" t="s">
        <v>4</v>
      </c>
      <c r="E600" s="56">
        <v>57</v>
      </c>
      <c r="F600" s="57">
        <v>3450</v>
      </c>
      <c r="G600" s="58">
        <v>6.9000000000000006E-2</v>
      </c>
      <c r="H600" s="59" t="s">
        <v>195</v>
      </c>
      <c r="I600" s="43">
        <f t="shared" si="18"/>
        <v>102800</v>
      </c>
      <c r="J600" s="49">
        <f t="shared" si="19"/>
        <v>100800</v>
      </c>
      <c r="K600" s="60">
        <v>94200</v>
      </c>
      <c r="L600" s="3"/>
    </row>
    <row r="601" spans="1:12" ht="12" customHeight="1">
      <c r="B601" s="48">
        <v>596</v>
      </c>
      <c r="C601" s="56" t="s">
        <v>232</v>
      </c>
      <c r="D601" s="56" t="s">
        <v>4</v>
      </c>
      <c r="E601" s="56">
        <v>55</v>
      </c>
      <c r="F601" s="57">
        <v>2165</v>
      </c>
      <c r="G601" s="58">
        <v>0.04</v>
      </c>
      <c r="H601" s="59" t="s">
        <v>195</v>
      </c>
      <c r="I601" s="43">
        <f t="shared" si="18"/>
        <v>102800</v>
      </c>
      <c r="J601" s="49">
        <f t="shared" si="19"/>
        <v>100800</v>
      </c>
      <c r="K601" s="60">
        <v>94200</v>
      </c>
      <c r="L601" s="3"/>
    </row>
    <row r="602" spans="1:12" ht="12" customHeight="1">
      <c r="B602" s="48">
        <v>597</v>
      </c>
      <c r="C602" s="56" t="s">
        <v>232</v>
      </c>
      <c r="D602" s="56" t="s">
        <v>4</v>
      </c>
      <c r="E602" s="56">
        <v>56</v>
      </c>
      <c r="F602" s="57">
        <v>2170</v>
      </c>
      <c r="G602" s="58">
        <v>4.2000000000000003E-2</v>
      </c>
      <c r="H602" s="59" t="s">
        <v>195</v>
      </c>
      <c r="I602" s="43">
        <f t="shared" si="18"/>
        <v>102800</v>
      </c>
      <c r="J602" s="49">
        <f t="shared" si="19"/>
        <v>100800</v>
      </c>
      <c r="K602" s="60">
        <v>94200</v>
      </c>
      <c r="L602" s="3"/>
    </row>
    <row r="603" spans="1:12" ht="12" customHeight="1">
      <c r="B603" s="48">
        <v>598</v>
      </c>
      <c r="C603" s="56" t="s">
        <v>232</v>
      </c>
      <c r="D603" s="56" t="s">
        <v>4</v>
      </c>
      <c r="E603" s="56">
        <v>65</v>
      </c>
      <c r="F603" s="57">
        <v>1755</v>
      </c>
      <c r="G603" s="58">
        <v>4.4999999999999998E-2</v>
      </c>
      <c r="H603" s="59" t="s">
        <v>195</v>
      </c>
      <c r="I603" s="43">
        <f t="shared" si="18"/>
        <v>102800</v>
      </c>
      <c r="J603" s="49">
        <f t="shared" si="19"/>
        <v>100800</v>
      </c>
      <c r="K603" s="60">
        <v>94200</v>
      </c>
      <c r="L603" s="3"/>
    </row>
    <row r="604" spans="1:12" customFormat="1" ht="12" customHeight="1">
      <c r="A604" s="4"/>
      <c r="B604" s="48">
        <v>599</v>
      </c>
      <c r="C604" s="56" t="s">
        <v>211</v>
      </c>
      <c r="D604" s="56" t="s">
        <v>4</v>
      </c>
      <c r="E604" s="56">
        <v>50</v>
      </c>
      <c r="F604" s="57">
        <v>3540</v>
      </c>
      <c r="G604" s="58">
        <v>0.375</v>
      </c>
      <c r="H604" s="59" t="s">
        <v>195</v>
      </c>
      <c r="I604" s="43">
        <f t="shared" si="18"/>
        <v>102800</v>
      </c>
      <c r="J604" s="49">
        <f t="shared" si="19"/>
        <v>100800</v>
      </c>
      <c r="K604" s="60">
        <v>94200</v>
      </c>
      <c r="L604" s="3"/>
    </row>
    <row r="605" spans="1:12" ht="12" customHeight="1">
      <c r="B605" s="48">
        <v>600</v>
      </c>
      <c r="C605" s="56" t="s">
        <v>71</v>
      </c>
      <c r="D605" s="56" t="s">
        <v>4</v>
      </c>
      <c r="E605" s="56">
        <v>60</v>
      </c>
      <c r="F605" s="57">
        <v>5480</v>
      </c>
      <c r="G605" s="58">
        <f>1.588-0.121</f>
        <v>1.4670000000000001</v>
      </c>
      <c r="H605" s="59" t="s">
        <v>195</v>
      </c>
      <c r="I605" s="43">
        <f t="shared" si="18"/>
        <v>150900</v>
      </c>
      <c r="J605" s="49">
        <f t="shared" si="19"/>
        <v>148900</v>
      </c>
      <c r="K605" s="60">
        <v>139100</v>
      </c>
      <c r="L605"/>
    </row>
    <row r="606" spans="1:12" customFormat="1" ht="12" customHeight="1">
      <c r="A606" s="4"/>
      <c r="B606" s="48">
        <v>601</v>
      </c>
      <c r="C606" s="56" t="s">
        <v>72</v>
      </c>
      <c r="D606" s="56" t="s">
        <v>4</v>
      </c>
      <c r="E606" s="56">
        <v>22</v>
      </c>
      <c r="F606" s="57">
        <v>4730</v>
      </c>
      <c r="G606" s="58">
        <f>0.191-0.042</f>
        <v>0.14899999999999999</v>
      </c>
      <c r="H606" s="59"/>
      <c r="I606" s="43">
        <f t="shared" si="18"/>
        <v>150900</v>
      </c>
      <c r="J606" s="49">
        <f t="shared" si="19"/>
        <v>148900</v>
      </c>
      <c r="K606" s="60">
        <v>139100</v>
      </c>
      <c r="L606" s="3"/>
    </row>
    <row r="607" spans="1:12" s="2" customFormat="1" ht="12" customHeight="1">
      <c r="B607" s="48">
        <v>602</v>
      </c>
      <c r="C607" s="56" t="s">
        <v>72</v>
      </c>
      <c r="D607" s="56" t="s">
        <v>4</v>
      </c>
      <c r="E607" s="56">
        <v>50</v>
      </c>
      <c r="F607" s="57">
        <v>1640</v>
      </c>
      <c r="G607" s="58">
        <v>7.8E-2</v>
      </c>
      <c r="H607" s="59"/>
      <c r="I607" s="43">
        <f t="shared" si="18"/>
        <v>150900</v>
      </c>
      <c r="J607" s="49">
        <f t="shared" si="19"/>
        <v>148900</v>
      </c>
      <c r="K607" s="60">
        <v>139100</v>
      </c>
      <c r="L607"/>
    </row>
    <row r="608" spans="1:12" customFormat="1" ht="12" customHeight="1">
      <c r="A608" s="4"/>
      <c r="B608" s="48">
        <v>603</v>
      </c>
      <c r="C608" s="56" t="s">
        <v>72</v>
      </c>
      <c r="D608" s="56" t="s">
        <v>4</v>
      </c>
      <c r="E608" s="56">
        <v>50</v>
      </c>
      <c r="F608" s="57">
        <v>4115</v>
      </c>
      <c r="G608" s="58">
        <v>0.247</v>
      </c>
      <c r="H608" s="59" t="s">
        <v>195</v>
      </c>
      <c r="I608" s="43">
        <f t="shared" si="18"/>
        <v>150900</v>
      </c>
      <c r="J608" s="49">
        <f t="shared" si="19"/>
        <v>148900</v>
      </c>
      <c r="K608" s="60">
        <v>139100</v>
      </c>
      <c r="L608" s="2"/>
    </row>
    <row r="609" spans="2:12" ht="12" customHeight="1">
      <c r="B609" s="48">
        <v>604</v>
      </c>
      <c r="C609" s="56" t="s">
        <v>72</v>
      </c>
      <c r="D609" s="56" t="s">
        <v>4</v>
      </c>
      <c r="E609" s="56">
        <v>56</v>
      </c>
      <c r="F609" s="57">
        <v>4680</v>
      </c>
      <c r="G609" s="58">
        <f>0.91-0.53</f>
        <v>0.38</v>
      </c>
      <c r="H609" s="59" t="s">
        <v>195</v>
      </c>
      <c r="I609" s="43">
        <f t="shared" si="18"/>
        <v>150900</v>
      </c>
      <c r="J609" s="49">
        <f t="shared" si="19"/>
        <v>148900</v>
      </c>
      <c r="K609" s="60">
        <v>139100</v>
      </c>
      <c r="L609"/>
    </row>
    <row r="610" spans="2:12" ht="12" customHeight="1">
      <c r="B610" s="48">
        <v>605</v>
      </c>
      <c r="C610" s="56" t="s">
        <v>72</v>
      </c>
      <c r="D610" s="56" t="s">
        <v>4</v>
      </c>
      <c r="E610" s="56">
        <v>70</v>
      </c>
      <c r="F610" s="57">
        <v>1840</v>
      </c>
      <c r="G610" s="58">
        <v>5.5E-2</v>
      </c>
      <c r="H610" s="59" t="s">
        <v>195</v>
      </c>
      <c r="I610" s="43">
        <f t="shared" si="18"/>
        <v>150900</v>
      </c>
      <c r="J610" s="49">
        <f t="shared" si="19"/>
        <v>148900</v>
      </c>
      <c r="K610" s="60">
        <v>139100</v>
      </c>
      <c r="L610" s="3"/>
    </row>
    <row r="611" spans="2:12" ht="12" customHeight="1">
      <c r="B611" s="48">
        <v>606</v>
      </c>
      <c r="C611" s="56" t="s">
        <v>72</v>
      </c>
      <c r="D611" s="56" t="s">
        <v>4</v>
      </c>
      <c r="E611" s="56">
        <v>70</v>
      </c>
      <c r="F611" s="57">
        <v>1810</v>
      </c>
      <c r="G611" s="58">
        <v>5.3999999999999999E-2</v>
      </c>
      <c r="H611" s="59" t="s">
        <v>195</v>
      </c>
      <c r="I611" s="43">
        <f t="shared" si="18"/>
        <v>150900</v>
      </c>
      <c r="J611" s="49">
        <f t="shared" si="19"/>
        <v>148900</v>
      </c>
      <c r="K611" s="60">
        <v>139100</v>
      </c>
      <c r="L611" s="3"/>
    </row>
    <row r="612" spans="2:12" ht="12" customHeight="1">
      <c r="B612" s="48">
        <v>607</v>
      </c>
      <c r="C612" s="56" t="s">
        <v>72</v>
      </c>
      <c r="D612" s="56" t="s">
        <v>4</v>
      </c>
      <c r="E612" s="56">
        <v>70</v>
      </c>
      <c r="F612" s="57">
        <v>2330</v>
      </c>
      <c r="G612" s="58">
        <v>7.0000000000000007E-2</v>
      </c>
      <c r="H612" s="59" t="s">
        <v>195</v>
      </c>
      <c r="I612" s="43">
        <f t="shared" si="18"/>
        <v>150900</v>
      </c>
      <c r="J612" s="49">
        <f t="shared" si="19"/>
        <v>148900</v>
      </c>
      <c r="K612" s="60">
        <v>139100</v>
      </c>
      <c r="L612" s="3"/>
    </row>
    <row r="613" spans="2:12" ht="12" customHeight="1">
      <c r="B613" s="48">
        <v>608</v>
      </c>
      <c r="C613" s="56" t="s">
        <v>72</v>
      </c>
      <c r="D613" s="56" t="s">
        <v>4</v>
      </c>
      <c r="E613" s="56">
        <v>85</v>
      </c>
      <c r="F613" s="57">
        <v>2325</v>
      </c>
      <c r="G613" s="58">
        <v>0.104</v>
      </c>
      <c r="H613" s="59" t="s">
        <v>195</v>
      </c>
      <c r="I613" s="43">
        <f t="shared" si="18"/>
        <v>150900</v>
      </c>
      <c r="J613" s="49">
        <f t="shared" si="19"/>
        <v>148900</v>
      </c>
      <c r="K613" s="60">
        <v>139100</v>
      </c>
      <c r="L613" s="3"/>
    </row>
    <row r="614" spans="2:12" ht="12" customHeight="1">
      <c r="B614" s="48">
        <v>609</v>
      </c>
      <c r="C614" s="56" t="s">
        <v>73</v>
      </c>
      <c r="D614" s="56" t="s">
        <v>4</v>
      </c>
      <c r="E614" s="56">
        <v>20</v>
      </c>
      <c r="F614" s="57">
        <v>4945</v>
      </c>
      <c r="G614" s="58">
        <v>1.772</v>
      </c>
      <c r="H614" s="59" t="s">
        <v>305</v>
      </c>
      <c r="I614" s="43">
        <f t="shared" si="18"/>
        <v>191000</v>
      </c>
      <c r="J614" s="49">
        <f t="shared" si="19"/>
        <v>189000</v>
      </c>
      <c r="K614" s="60">
        <v>176600</v>
      </c>
      <c r="L614" s="3"/>
    </row>
    <row r="615" spans="2:12" ht="12" customHeight="1">
      <c r="B615" s="48">
        <v>610</v>
      </c>
      <c r="C615" s="56" t="s">
        <v>73</v>
      </c>
      <c r="D615" s="56" t="s">
        <v>4</v>
      </c>
      <c r="E615" s="56">
        <v>30</v>
      </c>
      <c r="F615" s="57">
        <v>5865</v>
      </c>
      <c r="G615" s="58">
        <v>3.3000000000000002E-2</v>
      </c>
      <c r="H615" s="59" t="s">
        <v>305</v>
      </c>
      <c r="I615" s="43">
        <f t="shared" si="18"/>
        <v>191000</v>
      </c>
      <c r="J615" s="49">
        <f t="shared" si="19"/>
        <v>189000</v>
      </c>
      <c r="K615" s="60">
        <v>176600</v>
      </c>
      <c r="L615" s="3"/>
    </row>
    <row r="616" spans="2:12" ht="12" customHeight="1">
      <c r="B616" s="48">
        <v>611</v>
      </c>
      <c r="C616" s="56" t="s">
        <v>73</v>
      </c>
      <c r="D616" s="56" t="s">
        <v>4</v>
      </c>
      <c r="E616" s="56">
        <v>30</v>
      </c>
      <c r="F616" s="57">
        <v>5865</v>
      </c>
      <c r="G616" s="58">
        <f>1.786-0.194</f>
        <v>1.5920000000000001</v>
      </c>
      <c r="H616" s="59" t="s">
        <v>305</v>
      </c>
      <c r="I616" s="43">
        <f t="shared" si="18"/>
        <v>191000</v>
      </c>
      <c r="J616" s="49">
        <f t="shared" si="19"/>
        <v>189000</v>
      </c>
      <c r="K616" s="60">
        <v>176600</v>
      </c>
      <c r="L616" s="3"/>
    </row>
    <row r="617" spans="2:12" ht="12" customHeight="1">
      <c r="B617" s="48">
        <v>612</v>
      </c>
      <c r="C617" s="56" t="s">
        <v>73</v>
      </c>
      <c r="D617" s="56" t="s">
        <v>4</v>
      </c>
      <c r="E617" s="56">
        <v>55</v>
      </c>
      <c r="F617" s="57">
        <v>1650</v>
      </c>
      <c r="G617" s="58">
        <v>0.03</v>
      </c>
      <c r="H617" s="59" t="s">
        <v>195</v>
      </c>
      <c r="I617" s="43">
        <f t="shared" si="18"/>
        <v>153200</v>
      </c>
      <c r="J617" s="49">
        <f t="shared" si="19"/>
        <v>151200</v>
      </c>
      <c r="K617" s="60">
        <v>141300</v>
      </c>
      <c r="L617" s="3"/>
    </row>
    <row r="618" spans="2:12" ht="12" customHeight="1">
      <c r="B618" s="48">
        <v>613</v>
      </c>
      <c r="C618" s="56" t="s">
        <v>73</v>
      </c>
      <c r="D618" s="56" t="s">
        <v>4</v>
      </c>
      <c r="E618" s="56">
        <v>55</v>
      </c>
      <c r="F618" s="57">
        <v>2440</v>
      </c>
      <c r="G618" s="58">
        <v>4.4999999999999998E-2</v>
      </c>
      <c r="H618" s="59" t="s">
        <v>195</v>
      </c>
      <c r="I618" s="43">
        <f t="shared" si="18"/>
        <v>90200</v>
      </c>
      <c r="J618" s="49">
        <f t="shared" si="19"/>
        <v>88200</v>
      </c>
      <c r="K618" s="60">
        <v>82400</v>
      </c>
      <c r="L618" s="3"/>
    </row>
    <row r="619" spans="2:12" ht="12" customHeight="1">
      <c r="B619" s="48">
        <v>614</v>
      </c>
      <c r="C619" s="56" t="s">
        <v>73</v>
      </c>
      <c r="D619" s="56" t="s">
        <v>4</v>
      </c>
      <c r="E619" s="56">
        <v>56</v>
      </c>
      <c r="F619" s="57">
        <v>5050</v>
      </c>
      <c r="G619" s="58">
        <v>0.193</v>
      </c>
      <c r="H619" s="59" t="s">
        <v>305</v>
      </c>
      <c r="I619" s="43">
        <f t="shared" si="18"/>
        <v>191000</v>
      </c>
      <c r="J619" s="49">
        <f t="shared" si="19"/>
        <v>189000</v>
      </c>
      <c r="K619" s="60">
        <v>176600</v>
      </c>
      <c r="L619" s="3"/>
    </row>
    <row r="620" spans="2:12" ht="12" customHeight="1">
      <c r="B620" s="48">
        <v>615</v>
      </c>
      <c r="C620" s="74" t="s">
        <v>73</v>
      </c>
      <c r="D620" s="74" t="s">
        <v>4</v>
      </c>
      <c r="E620" s="80">
        <v>67</v>
      </c>
      <c r="F620" s="68">
        <v>3670</v>
      </c>
      <c r="G620" s="81">
        <f>0.575-0.204-0.226</f>
        <v>0.14499999999999999</v>
      </c>
      <c r="H620" s="69" t="s">
        <v>195</v>
      </c>
      <c r="I620" s="43">
        <f t="shared" si="18"/>
        <v>90200</v>
      </c>
      <c r="J620" s="49">
        <f t="shared" si="19"/>
        <v>88200</v>
      </c>
      <c r="K620" s="82">
        <v>82400</v>
      </c>
      <c r="L620" s="3"/>
    </row>
    <row r="621" spans="2:12" ht="12" customHeight="1">
      <c r="B621" s="48">
        <v>616</v>
      </c>
      <c r="C621" s="56" t="s">
        <v>73</v>
      </c>
      <c r="D621" s="56" t="s">
        <v>4</v>
      </c>
      <c r="E621" s="56">
        <v>80</v>
      </c>
      <c r="F621" s="57">
        <v>1520</v>
      </c>
      <c r="G621" s="58">
        <v>5.8999999999999997E-2</v>
      </c>
      <c r="H621" s="59" t="s">
        <v>195</v>
      </c>
      <c r="I621" s="43">
        <f t="shared" si="18"/>
        <v>153200</v>
      </c>
      <c r="J621" s="49">
        <f t="shared" si="19"/>
        <v>151200</v>
      </c>
      <c r="K621" s="60">
        <v>141300</v>
      </c>
      <c r="L621" s="3"/>
    </row>
    <row r="622" spans="2:12" ht="12" customHeight="1">
      <c r="B622" s="48">
        <v>617</v>
      </c>
      <c r="C622" s="56" t="s">
        <v>73</v>
      </c>
      <c r="D622" s="56" t="s">
        <v>4</v>
      </c>
      <c r="E622" s="56">
        <v>88</v>
      </c>
      <c r="F622" s="57">
        <v>1770</v>
      </c>
      <c r="G622" s="58">
        <v>8.5000000000000006E-2</v>
      </c>
      <c r="H622" s="59" t="s">
        <v>195</v>
      </c>
      <c r="I622" s="43">
        <f t="shared" si="18"/>
        <v>150900</v>
      </c>
      <c r="J622" s="49">
        <f t="shared" si="19"/>
        <v>148900</v>
      </c>
      <c r="K622" s="60">
        <v>139100</v>
      </c>
      <c r="L622" s="3"/>
    </row>
    <row r="623" spans="2:12" ht="12" customHeight="1">
      <c r="B623" s="48">
        <v>618</v>
      </c>
      <c r="C623" s="56" t="s">
        <v>73</v>
      </c>
      <c r="D623" s="56" t="s">
        <v>4</v>
      </c>
      <c r="E623" s="80">
        <v>90</v>
      </c>
      <c r="F623" s="68">
        <v>2590</v>
      </c>
      <c r="G623" s="81">
        <f>0.265-0.134</f>
        <v>0.13100000000000001</v>
      </c>
      <c r="H623" s="69" t="s">
        <v>195</v>
      </c>
      <c r="I623" s="43">
        <f t="shared" si="18"/>
        <v>153200</v>
      </c>
      <c r="J623" s="49">
        <f t="shared" si="19"/>
        <v>151200</v>
      </c>
      <c r="K623" s="60">
        <v>141300</v>
      </c>
      <c r="L623" s="3"/>
    </row>
    <row r="624" spans="2:12" ht="12" customHeight="1">
      <c r="B624" s="48">
        <v>619</v>
      </c>
      <c r="C624" s="56" t="s">
        <v>73</v>
      </c>
      <c r="D624" s="56" t="s">
        <v>4</v>
      </c>
      <c r="E624" s="56">
        <v>100</v>
      </c>
      <c r="F624" s="57">
        <v>3000</v>
      </c>
      <c r="G624" s="58">
        <v>0.183</v>
      </c>
      <c r="H624" s="59" t="s">
        <v>305</v>
      </c>
      <c r="I624" s="43">
        <f t="shared" si="18"/>
        <v>191000</v>
      </c>
      <c r="J624" s="49">
        <f t="shared" si="19"/>
        <v>189000</v>
      </c>
      <c r="K624" s="60">
        <v>176600</v>
      </c>
      <c r="L624" s="3"/>
    </row>
    <row r="625" spans="2:12" ht="12" customHeight="1">
      <c r="B625" s="48">
        <v>620</v>
      </c>
      <c r="C625" s="56" t="s">
        <v>74</v>
      </c>
      <c r="D625" s="56" t="s">
        <v>4</v>
      </c>
      <c r="E625" s="56">
        <v>48</v>
      </c>
      <c r="F625" s="57">
        <v>4040</v>
      </c>
      <c r="G625" s="58">
        <v>5.7000000000000002E-2</v>
      </c>
      <c r="H625" s="59" t="s">
        <v>195</v>
      </c>
      <c r="I625" s="43">
        <f t="shared" si="18"/>
        <v>90200</v>
      </c>
      <c r="J625" s="49">
        <f t="shared" si="19"/>
        <v>88200</v>
      </c>
      <c r="K625" s="60">
        <v>82400</v>
      </c>
      <c r="L625" s="3"/>
    </row>
    <row r="626" spans="2:12" ht="12" customHeight="1">
      <c r="B626" s="48">
        <v>621</v>
      </c>
      <c r="C626" s="67" t="s">
        <v>208</v>
      </c>
      <c r="D626" s="67" t="s">
        <v>4</v>
      </c>
      <c r="E626" s="67">
        <v>22</v>
      </c>
      <c r="F626" s="68">
        <v>5670</v>
      </c>
      <c r="G626" s="70">
        <v>1.1200000000000001</v>
      </c>
      <c r="H626" s="69" t="s">
        <v>195</v>
      </c>
      <c r="I626" s="43">
        <f t="shared" si="18"/>
        <v>82200</v>
      </c>
      <c r="J626" s="49">
        <f t="shared" si="19"/>
        <v>80200</v>
      </c>
      <c r="K626" s="82">
        <v>74900</v>
      </c>
      <c r="L626" s="3"/>
    </row>
    <row r="627" spans="2:12" ht="12" customHeight="1">
      <c r="B627" s="48">
        <v>622</v>
      </c>
      <c r="C627" s="67" t="s">
        <v>208</v>
      </c>
      <c r="D627" s="67" t="s">
        <v>4</v>
      </c>
      <c r="E627" s="67">
        <v>80</v>
      </c>
      <c r="F627" s="68">
        <v>5320</v>
      </c>
      <c r="G627" s="70">
        <f>0.645-0.215</f>
        <v>0.43000000000000005</v>
      </c>
      <c r="H627" s="69" t="s">
        <v>195</v>
      </c>
      <c r="I627" s="43">
        <f t="shared" si="18"/>
        <v>82200</v>
      </c>
      <c r="J627" s="49">
        <f t="shared" si="19"/>
        <v>80200</v>
      </c>
      <c r="K627" s="82">
        <v>74900</v>
      </c>
      <c r="L627"/>
    </row>
    <row r="628" spans="2:12" ht="12" customHeight="1">
      <c r="B628" s="48">
        <v>623</v>
      </c>
      <c r="C628" s="56" t="s">
        <v>76</v>
      </c>
      <c r="D628" s="56" t="s">
        <v>4</v>
      </c>
      <c r="E628" s="56">
        <v>56</v>
      </c>
      <c r="F628" s="57">
        <v>2600</v>
      </c>
      <c r="G628" s="58">
        <v>0.05</v>
      </c>
      <c r="H628" s="59" t="s">
        <v>195</v>
      </c>
      <c r="I628" s="43">
        <f t="shared" si="18"/>
        <v>115500</v>
      </c>
      <c r="J628" s="49">
        <f t="shared" si="19"/>
        <v>113500</v>
      </c>
      <c r="K628" s="60">
        <v>106000</v>
      </c>
      <c r="L628" s="3"/>
    </row>
    <row r="629" spans="2:12" ht="12" customHeight="1">
      <c r="B629" s="48">
        <v>624</v>
      </c>
      <c r="C629" s="56" t="s">
        <v>76</v>
      </c>
      <c r="D629" s="56" t="s">
        <v>4</v>
      </c>
      <c r="E629" s="56">
        <v>56</v>
      </c>
      <c r="F629" s="57" t="s">
        <v>77</v>
      </c>
      <c r="G629" s="58">
        <f>1.35-0.058-0.35-0.465-0.057-0.175</f>
        <v>0.24500000000000005</v>
      </c>
      <c r="H629" s="59" t="s">
        <v>195</v>
      </c>
      <c r="I629" s="43">
        <f t="shared" si="18"/>
        <v>146900</v>
      </c>
      <c r="J629" s="49">
        <f t="shared" si="19"/>
        <v>144900</v>
      </c>
      <c r="K629" s="60">
        <v>135400</v>
      </c>
      <c r="L629" s="3"/>
    </row>
    <row r="630" spans="2:12" ht="12" customHeight="1">
      <c r="B630" s="48">
        <v>625</v>
      </c>
      <c r="C630" s="56" t="s">
        <v>76</v>
      </c>
      <c r="D630" s="56" t="s">
        <v>4</v>
      </c>
      <c r="E630" s="56">
        <v>79</v>
      </c>
      <c r="F630" s="57">
        <v>3095</v>
      </c>
      <c r="G630" s="58">
        <v>0.84</v>
      </c>
      <c r="H630" s="59" t="s">
        <v>195</v>
      </c>
      <c r="I630" s="43">
        <f t="shared" si="18"/>
        <v>146900</v>
      </c>
      <c r="J630" s="49">
        <f t="shared" si="19"/>
        <v>144900</v>
      </c>
      <c r="K630" s="60">
        <v>135400</v>
      </c>
      <c r="L630" s="3"/>
    </row>
    <row r="631" spans="2:12" ht="12" customHeight="1">
      <c r="B631" s="48">
        <v>626</v>
      </c>
      <c r="C631" s="56" t="s">
        <v>76</v>
      </c>
      <c r="D631" s="56" t="s">
        <v>4</v>
      </c>
      <c r="E631" s="56">
        <v>130</v>
      </c>
      <c r="F631" s="57">
        <v>1550</v>
      </c>
      <c r="G631" s="58">
        <v>0.161</v>
      </c>
      <c r="H631" s="59" t="s">
        <v>195</v>
      </c>
      <c r="I631" s="43">
        <f t="shared" si="18"/>
        <v>159600</v>
      </c>
      <c r="J631" s="49">
        <f t="shared" si="19"/>
        <v>157600</v>
      </c>
      <c r="K631" s="60">
        <v>147200</v>
      </c>
      <c r="L631" s="3"/>
    </row>
    <row r="632" spans="2:12" ht="12" customHeight="1">
      <c r="B632" s="48">
        <v>627</v>
      </c>
      <c r="C632" s="56" t="s">
        <v>244</v>
      </c>
      <c r="D632" s="56" t="s">
        <v>4</v>
      </c>
      <c r="E632" s="56">
        <v>16</v>
      </c>
      <c r="F632" s="57">
        <v>2140</v>
      </c>
      <c r="G632" s="58">
        <v>0.16500000000000001</v>
      </c>
      <c r="H632" s="59" t="s">
        <v>195</v>
      </c>
      <c r="I632" s="43">
        <f t="shared" si="18"/>
        <v>425700</v>
      </c>
      <c r="J632" s="49">
        <f t="shared" si="19"/>
        <v>423700</v>
      </c>
      <c r="K632" s="60">
        <v>395900</v>
      </c>
      <c r="L632" s="3"/>
    </row>
    <row r="633" spans="2:12" ht="12" customHeight="1">
      <c r="B633" s="48">
        <v>628</v>
      </c>
      <c r="C633" s="56" t="s">
        <v>244</v>
      </c>
      <c r="D633" s="56" t="s">
        <v>4</v>
      </c>
      <c r="E633" s="56">
        <v>21</v>
      </c>
      <c r="F633" s="57">
        <v>1915</v>
      </c>
      <c r="G633" s="58">
        <f>0.96-0.016-0.008-0.008-0.05-0.044-0.053-0.058</f>
        <v>0.72299999999999975</v>
      </c>
      <c r="H633" s="59" t="s">
        <v>218</v>
      </c>
      <c r="I633" s="43">
        <f t="shared" si="18"/>
        <v>425700</v>
      </c>
      <c r="J633" s="49">
        <f t="shared" si="19"/>
        <v>423700</v>
      </c>
      <c r="K633" s="60">
        <v>395900</v>
      </c>
      <c r="L633" s="3"/>
    </row>
    <row r="634" spans="2:12" ht="12" customHeight="1">
      <c r="B634" s="48">
        <v>629</v>
      </c>
      <c r="C634" s="56" t="s">
        <v>244</v>
      </c>
      <c r="D634" s="56" t="s">
        <v>4</v>
      </c>
      <c r="E634" s="56">
        <v>28</v>
      </c>
      <c r="F634" s="57">
        <v>3215</v>
      </c>
      <c r="G634" s="58">
        <f>0.075-0.045</f>
        <v>0.03</v>
      </c>
      <c r="H634" s="59" t="s">
        <v>195</v>
      </c>
      <c r="I634" s="43">
        <f t="shared" si="18"/>
        <v>425700</v>
      </c>
      <c r="J634" s="49">
        <f t="shared" si="19"/>
        <v>423700</v>
      </c>
      <c r="K634" s="60">
        <v>395900</v>
      </c>
      <c r="L634" s="3"/>
    </row>
    <row r="635" spans="2:12" ht="12" customHeight="1">
      <c r="B635" s="48">
        <v>630</v>
      </c>
      <c r="C635" s="56" t="s">
        <v>244</v>
      </c>
      <c r="D635" s="56" t="s">
        <v>4</v>
      </c>
      <c r="E635" s="56">
        <v>28</v>
      </c>
      <c r="F635" s="57">
        <v>2640</v>
      </c>
      <c r="G635" s="58">
        <f>0.013+0.014+0.015</f>
        <v>4.1999999999999996E-2</v>
      </c>
      <c r="H635" s="59" t="s">
        <v>195</v>
      </c>
      <c r="I635" s="43">
        <f t="shared" si="18"/>
        <v>425700</v>
      </c>
      <c r="J635" s="49">
        <f t="shared" si="19"/>
        <v>423700</v>
      </c>
      <c r="K635" s="60">
        <v>395900</v>
      </c>
      <c r="L635" s="3"/>
    </row>
    <row r="636" spans="2:12" ht="12" customHeight="1">
      <c r="B636" s="48">
        <v>631</v>
      </c>
      <c r="C636" s="56" t="s">
        <v>244</v>
      </c>
      <c r="D636" s="56" t="s">
        <v>4</v>
      </c>
      <c r="E636" s="56">
        <v>36</v>
      </c>
      <c r="F636" s="57">
        <v>2725</v>
      </c>
      <c r="G636" s="58">
        <v>2.1000000000000001E-2</v>
      </c>
      <c r="H636" s="59" t="s">
        <v>195</v>
      </c>
      <c r="I636" s="43">
        <f t="shared" si="18"/>
        <v>437100</v>
      </c>
      <c r="J636" s="49">
        <f t="shared" si="19"/>
        <v>435100</v>
      </c>
      <c r="K636" s="60">
        <v>406600</v>
      </c>
      <c r="L636" s="3"/>
    </row>
    <row r="637" spans="2:12" ht="12" customHeight="1">
      <c r="B637" s="48">
        <v>632</v>
      </c>
      <c r="C637" s="56" t="s">
        <v>244</v>
      </c>
      <c r="D637" s="56" t="s">
        <v>4</v>
      </c>
      <c r="E637" s="56">
        <v>55</v>
      </c>
      <c r="F637" s="57">
        <v>965</v>
      </c>
      <c r="G637" s="58">
        <v>1.7999999999999999E-2</v>
      </c>
      <c r="H637" s="59" t="s">
        <v>195</v>
      </c>
      <c r="I637" s="43">
        <f t="shared" si="18"/>
        <v>425700</v>
      </c>
      <c r="J637" s="49">
        <f t="shared" si="19"/>
        <v>423700</v>
      </c>
      <c r="K637" s="60">
        <v>395900</v>
      </c>
      <c r="L637" s="3"/>
    </row>
    <row r="638" spans="2:12" ht="12" customHeight="1">
      <c r="B638" s="48">
        <v>633</v>
      </c>
      <c r="C638" s="56" t="s">
        <v>268</v>
      </c>
      <c r="D638" s="56" t="s">
        <v>4</v>
      </c>
      <c r="E638" s="56">
        <v>28</v>
      </c>
      <c r="F638" s="57">
        <v>2715</v>
      </c>
      <c r="G638" s="58">
        <v>1.2999999999999999E-2</v>
      </c>
      <c r="H638" s="59" t="s">
        <v>195</v>
      </c>
      <c r="I638" s="43">
        <f t="shared" si="18"/>
        <v>304300</v>
      </c>
      <c r="J638" s="49">
        <f t="shared" si="19"/>
        <v>302300</v>
      </c>
      <c r="K638" s="60">
        <v>282500</v>
      </c>
      <c r="L638" s="3"/>
    </row>
    <row r="639" spans="2:12" ht="12" customHeight="1">
      <c r="B639" s="48">
        <v>634</v>
      </c>
      <c r="C639" s="56" t="s">
        <v>233</v>
      </c>
      <c r="D639" s="56" t="s">
        <v>4</v>
      </c>
      <c r="E639" s="56">
        <v>75</v>
      </c>
      <c r="F639" s="57">
        <v>630</v>
      </c>
      <c r="G639" s="58">
        <v>2.1999999999999999E-2</v>
      </c>
      <c r="H639" s="59" t="s">
        <v>254</v>
      </c>
      <c r="I639" s="43">
        <f t="shared" si="18"/>
        <v>115500</v>
      </c>
      <c r="J639" s="49">
        <f t="shared" si="19"/>
        <v>113500</v>
      </c>
      <c r="K639" s="60">
        <v>106000</v>
      </c>
      <c r="L639" s="3"/>
    </row>
    <row r="640" spans="2:12" ht="12" customHeight="1">
      <c r="B640" s="48">
        <v>635</v>
      </c>
      <c r="C640" s="56" t="s">
        <v>233</v>
      </c>
      <c r="D640" s="56" t="s">
        <v>4</v>
      </c>
      <c r="E640" s="56">
        <v>80</v>
      </c>
      <c r="F640" s="57">
        <v>2210</v>
      </c>
      <c r="G640" s="58">
        <v>8.5999999999999993E-2</v>
      </c>
      <c r="H640" s="59" t="s">
        <v>195</v>
      </c>
      <c r="I640" s="43">
        <f t="shared" si="18"/>
        <v>115500</v>
      </c>
      <c r="J640" s="49">
        <f t="shared" si="19"/>
        <v>113500</v>
      </c>
      <c r="K640" s="60">
        <v>106000</v>
      </c>
      <c r="L640" s="3"/>
    </row>
    <row r="641" spans="2:12" ht="12" customHeight="1">
      <c r="B641" s="48">
        <v>636</v>
      </c>
      <c r="C641" s="56" t="s">
        <v>282</v>
      </c>
      <c r="D641" s="56" t="s">
        <v>4</v>
      </c>
      <c r="E641" s="56">
        <v>150</v>
      </c>
      <c r="F641" s="57">
        <v>2995</v>
      </c>
      <c r="G641" s="58">
        <v>0.41</v>
      </c>
      <c r="H641" s="59" t="s">
        <v>6</v>
      </c>
      <c r="I641" s="43">
        <f t="shared" si="18"/>
        <v>115500</v>
      </c>
      <c r="J641" s="49">
        <f t="shared" si="19"/>
        <v>113500</v>
      </c>
      <c r="K641" s="60">
        <v>106000</v>
      </c>
      <c r="L641" s="3"/>
    </row>
    <row r="642" spans="2:12" ht="12" customHeight="1">
      <c r="B642" s="48">
        <v>637</v>
      </c>
      <c r="C642" s="56" t="s">
        <v>245</v>
      </c>
      <c r="D642" s="56" t="s">
        <v>4</v>
      </c>
      <c r="E642" s="56">
        <v>28</v>
      </c>
      <c r="F642" s="57">
        <v>4585</v>
      </c>
      <c r="G642" s="58">
        <v>0.255</v>
      </c>
      <c r="H642" s="59" t="s">
        <v>195</v>
      </c>
      <c r="I642" s="43">
        <f t="shared" si="18"/>
        <v>90200</v>
      </c>
      <c r="J642" s="49">
        <f t="shared" si="19"/>
        <v>88200</v>
      </c>
      <c r="K642" s="60">
        <v>82400</v>
      </c>
      <c r="L642" s="3"/>
    </row>
    <row r="643" spans="2:12" ht="12" customHeight="1">
      <c r="B643" s="48">
        <v>638</v>
      </c>
      <c r="C643" s="56" t="s">
        <v>75</v>
      </c>
      <c r="D643" s="56" t="s">
        <v>4</v>
      </c>
      <c r="E643" s="56">
        <v>75</v>
      </c>
      <c r="F643" s="57">
        <v>3355</v>
      </c>
      <c r="G643" s="58">
        <v>0.47199999999999998</v>
      </c>
      <c r="H643" s="69" t="s">
        <v>195</v>
      </c>
      <c r="I643" s="43">
        <f t="shared" si="18"/>
        <v>82200</v>
      </c>
      <c r="J643" s="49">
        <f t="shared" si="19"/>
        <v>80200</v>
      </c>
      <c r="K643" s="60">
        <v>74900</v>
      </c>
      <c r="L643" s="3"/>
    </row>
    <row r="644" spans="2:12" ht="12" customHeight="1">
      <c r="B644" s="48">
        <v>639</v>
      </c>
      <c r="C644" s="56" t="s">
        <v>78</v>
      </c>
      <c r="D644" s="56" t="s">
        <v>4</v>
      </c>
      <c r="E644" s="56">
        <v>25</v>
      </c>
      <c r="F644" s="57">
        <v>2250</v>
      </c>
      <c r="G644" s="58">
        <f>0.71-0.035-0.16</f>
        <v>0.5149999999999999</v>
      </c>
      <c r="H644" s="59" t="s">
        <v>195</v>
      </c>
      <c r="I644" s="43">
        <f t="shared" si="18"/>
        <v>88000</v>
      </c>
      <c r="J644" s="49">
        <f t="shared" si="19"/>
        <v>86000</v>
      </c>
      <c r="K644" s="60">
        <v>80300</v>
      </c>
      <c r="L644" s="3"/>
    </row>
    <row r="645" spans="2:12" ht="12" customHeight="1">
      <c r="B645" s="48">
        <v>640</v>
      </c>
      <c r="C645" s="56" t="s">
        <v>78</v>
      </c>
      <c r="D645" s="56" t="s">
        <v>4</v>
      </c>
      <c r="E645" s="56">
        <v>34</v>
      </c>
      <c r="F645" s="57">
        <v>4240</v>
      </c>
      <c r="G645" s="58">
        <v>0.03</v>
      </c>
      <c r="H645" s="59" t="s">
        <v>195</v>
      </c>
      <c r="I645" s="43">
        <f t="shared" si="18"/>
        <v>88000</v>
      </c>
      <c r="J645" s="49">
        <f t="shared" si="19"/>
        <v>86000</v>
      </c>
      <c r="K645" s="60">
        <v>80300</v>
      </c>
      <c r="L645" s="3"/>
    </row>
    <row r="646" spans="2:12" ht="12" customHeight="1">
      <c r="B646" s="48">
        <v>641</v>
      </c>
      <c r="C646" s="56" t="s">
        <v>78</v>
      </c>
      <c r="D646" s="56" t="s">
        <v>4</v>
      </c>
      <c r="E646" s="56">
        <v>80</v>
      </c>
      <c r="F646" s="57">
        <v>1500</v>
      </c>
      <c r="G646" s="58">
        <v>5.8999999999999997E-2</v>
      </c>
      <c r="H646" s="59" t="s">
        <v>195</v>
      </c>
      <c r="I646" s="43">
        <f t="shared" ref="I646:I709" si="20">J646+2000</f>
        <v>88000</v>
      </c>
      <c r="J646" s="49">
        <f t="shared" si="19"/>
        <v>86000</v>
      </c>
      <c r="K646" s="60">
        <v>80300</v>
      </c>
      <c r="L646" s="3"/>
    </row>
    <row r="647" spans="2:12" s="5" customFormat="1" ht="12" customHeight="1">
      <c r="B647" s="48">
        <v>642</v>
      </c>
      <c r="C647" s="56" t="s">
        <v>78</v>
      </c>
      <c r="D647" s="56" t="s">
        <v>4</v>
      </c>
      <c r="E647" s="56">
        <v>100</v>
      </c>
      <c r="F647" s="57">
        <v>2700</v>
      </c>
      <c r="G647" s="58">
        <v>0.16500000000000001</v>
      </c>
      <c r="H647" s="59"/>
      <c r="I647" s="43">
        <f t="shared" si="20"/>
        <v>96500</v>
      </c>
      <c r="J647" s="49">
        <f t="shared" ref="J647:J710" si="21">ROUNDUP(K647*1.07,-2)</f>
        <v>94500</v>
      </c>
      <c r="K647" s="60">
        <v>88300</v>
      </c>
      <c r="L647" s="3"/>
    </row>
    <row r="648" spans="2:12" s="5" customFormat="1" ht="12" customHeight="1">
      <c r="B648" s="48">
        <v>643</v>
      </c>
      <c r="C648" s="56" t="s">
        <v>78</v>
      </c>
      <c r="D648" s="56" t="s">
        <v>4</v>
      </c>
      <c r="E648" s="56">
        <v>420</v>
      </c>
      <c r="F648" s="57">
        <v>90</v>
      </c>
      <c r="G648" s="58">
        <v>0.5</v>
      </c>
      <c r="H648" s="59" t="s">
        <v>6</v>
      </c>
      <c r="I648" s="43">
        <f t="shared" si="20"/>
        <v>113100</v>
      </c>
      <c r="J648" s="49">
        <f t="shared" si="21"/>
        <v>111100</v>
      </c>
      <c r="K648" s="60">
        <v>103800</v>
      </c>
      <c r="L648" s="3"/>
    </row>
    <row r="649" spans="2:12" ht="12" customHeight="1">
      <c r="B649" s="48">
        <v>644</v>
      </c>
      <c r="C649" s="56" t="s">
        <v>79</v>
      </c>
      <c r="D649" s="56" t="s">
        <v>4</v>
      </c>
      <c r="E649" s="56">
        <v>50</v>
      </c>
      <c r="F649" s="57">
        <v>5515</v>
      </c>
      <c r="G649" s="58">
        <v>8.4000000000000005E-2</v>
      </c>
      <c r="H649" s="59" t="s">
        <v>195</v>
      </c>
      <c r="I649" s="43">
        <f t="shared" si="20"/>
        <v>96500</v>
      </c>
      <c r="J649" s="49">
        <f t="shared" si="21"/>
        <v>94500</v>
      </c>
      <c r="K649" s="60">
        <v>88300</v>
      </c>
      <c r="L649" s="3"/>
    </row>
    <row r="650" spans="2:12" ht="12" customHeight="1">
      <c r="B650" s="48">
        <v>645</v>
      </c>
      <c r="C650" s="56" t="s">
        <v>79</v>
      </c>
      <c r="D650" s="56" t="s">
        <v>4</v>
      </c>
      <c r="E650" s="56">
        <v>52</v>
      </c>
      <c r="F650" s="57">
        <v>3255</v>
      </c>
      <c r="G650" s="58">
        <v>0.27</v>
      </c>
      <c r="H650" s="59"/>
      <c r="I650" s="43">
        <f t="shared" si="20"/>
        <v>96500</v>
      </c>
      <c r="J650" s="49">
        <f t="shared" si="21"/>
        <v>94500</v>
      </c>
      <c r="K650" s="60">
        <v>88300</v>
      </c>
      <c r="L650" s="3"/>
    </row>
    <row r="651" spans="2:12" ht="12" customHeight="1">
      <c r="B651" s="48">
        <v>646</v>
      </c>
      <c r="C651" s="56" t="s">
        <v>79</v>
      </c>
      <c r="D651" s="56" t="s">
        <v>4</v>
      </c>
      <c r="E651" s="56">
        <v>55</v>
      </c>
      <c r="F651" s="57">
        <v>4120</v>
      </c>
      <c r="G651" s="58">
        <v>7.5999999999999998E-2</v>
      </c>
      <c r="H651" s="59" t="s">
        <v>195</v>
      </c>
      <c r="I651" s="43">
        <f t="shared" si="20"/>
        <v>65100</v>
      </c>
      <c r="J651" s="49">
        <f t="shared" si="21"/>
        <v>63100</v>
      </c>
      <c r="K651" s="60">
        <v>58900</v>
      </c>
      <c r="L651" s="3"/>
    </row>
    <row r="652" spans="2:12" ht="12" customHeight="1">
      <c r="B652" s="48">
        <v>647</v>
      </c>
      <c r="C652" s="56" t="s">
        <v>79</v>
      </c>
      <c r="D652" s="56" t="s">
        <v>4</v>
      </c>
      <c r="E652" s="56">
        <v>56</v>
      </c>
      <c r="F652" s="57">
        <v>4950</v>
      </c>
      <c r="G652" s="58">
        <v>9.5000000000000001E-2</v>
      </c>
      <c r="H652" s="59" t="s">
        <v>195</v>
      </c>
      <c r="I652" s="43">
        <f t="shared" si="20"/>
        <v>96500</v>
      </c>
      <c r="J652" s="49">
        <f t="shared" si="21"/>
        <v>94500</v>
      </c>
      <c r="K652" s="60">
        <v>88300</v>
      </c>
      <c r="L652" s="3"/>
    </row>
    <row r="653" spans="2:12" ht="12" customHeight="1">
      <c r="B653" s="48">
        <v>648</v>
      </c>
      <c r="C653" s="56" t="s">
        <v>79</v>
      </c>
      <c r="D653" s="56" t="s">
        <v>4</v>
      </c>
      <c r="E653" s="56">
        <v>56</v>
      </c>
      <c r="F653" s="57">
        <v>5115</v>
      </c>
      <c r="G653" s="58">
        <v>9.8000000000000004E-2</v>
      </c>
      <c r="H653" s="59" t="s">
        <v>195</v>
      </c>
      <c r="I653" s="43">
        <f t="shared" si="20"/>
        <v>96500</v>
      </c>
      <c r="J653" s="49">
        <f t="shared" si="21"/>
        <v>94500</v>
      </c>
      <c r="K653" s="60">
        <v>88300</v>
      </c>
      <c r="L653" s="3"/>
    </row>
    <row r="654" spans="2:12" ht="12" customHeight="1">
      <c r="B654" s="48">
        <v>649</v>
      </c>
      <c r="C654" s="56" t="s">
        <v>79</v>
      </c>
      <c r="D654" s="56" t="s">
        <v>4</v>
      </c>
      <c r="E654" s="56">
        <v>56</v>
      </c>
      <c r="F654" s="57">
        <v>4970</v>
      </c>
      <c r="G654" s="58">
        <v>9.6000000000000002E-2</v>
      </c>
      <c r="H654" s="59" t="s">
        <v>195</v>
      </c>
      <c r="I654" s="43">
        <f t="shared" si="20"/>
        <v>96500</v>
      </c>
      <c r="J654" s="49">
        <f t="shared" si="21"/>
        <v>94500</v>
      </c>
      <c r="K654" s="60">
        <v>88300</v>
      </c>
      <c r="L654" s="3"/>
    </row>
    <row r="655" spans="2:12" ht="12" customHeight="1">
      <c r="B655" s="48">
        <v>650</v>
      </c>
      <c r="C655" s="56" t="s">
        <v>79</v>
      </c>
      <c r="D655" s="56" t="s">
        <v>4</v>
      </c>
      <c r="E655" s="56">
        <v>56</v>
      </c>
      <c r="F655" s="57">
        <v>4860</v>
      </c>
      <c r="G655" s="58">
        <v>9.2999999999999999E-2</v>
      </c>
      <c r="H655" s="59" t="s">
        <v>195</v>
      </c>
      <c r="I655" s="43">
        <f t="shared" si="20"/>
        <v>96500</v>
      </c>
      <c r="J655" s="49">
        <f t="shared" si="21"/>
        <v>94500</v>
      </c>
      <c r="K655" s="60">
        <v>88300</v>
      </c>
      <c r="L655" s="5"/>
    </row>
    <row r="656" spans="2:12" ht="12" customHeight="1">
      <c r="B656" s="48">
        <v>651</v>
      </c>
      <c r="C656" s="56" t="s">
        <v>79</v>
      </c>
      <c r="D656" s="56" t="s">
        <v>4</v>
      </c>
      <c r="E656" s="56">
        <v>120</v>
      </c>
      <c r="F656" s="57">
        <v>4000</v>
      </c>
      <c r="G656" s="58">
        <v>0.35499999999999998</v>
      </c>
      <c r="H656" s="59"/>
      <c r="I656" s="43">
        <f t="shared" si="20"/>
        <v>96500</v>
      </c>
      <c r="J656" s="49">
        <f t="shared" si="21"/>
        <v>94500</v>
      </c>
      <c r="K656" s="60">
        <v>88300</v>
      </c>
      <c r="L656" s="3"/>
    </row>
    <row r="657" spans="2:12" ht="12" customHeight="1">
      <c r="B657" s="48">
        <v>652</v>
      </c>
      <c r="C657" s="56" t="s">
        <v>80</v>
      </c>
      <c r="D657" s="56" t="s">
        <v>4</v>
      </c>
      <c r="E657" s="56">
        <v>40</v>
      </c>
      <c r="F657" s="57">
        <v>3000</v>
      </c>
      <c r="G657" s="58">
        <v>2.9000000000000001E-2</v>
      </c>
      <c r="H657" s="59" t="s">
        <v>195</v>
      </c>
      <c r="I657" s="43">
        <f t="shared" si="20"/>
        <v>96500</v>
      </c>
      <c r="J657" s="49">
        <f t="shared" si="21"/>
        <v>94500</v>
      </c>
      <c r="K657" s="60">
        <v>88300</v>
      </c>
      <c r="L657" s="5"/>
    </row>
    <row r="658" spans="2:12" s="11" customFormat="1" ht="12" customHeight="1">
      <c r="B658" s="48">
        <v>653</v>
      </c>
      <c r="C658" s="56" t="s">
        <v>80</v>
      </c>
      <c r="D658" s="56" t="s">
        <v>4</v>
      </c>
      <c r="E658" s="56">
        <v>56</v>
      </c>
      <c r="F658" s="57">
        <v>2715</v>
      </c>
      <c r="G658" s="58">
        <v>5.1999999999999998E-2</v>
      </c>
      <c r="H658" s="59" t="s">
        <v>195</v>
      </c>
      <c r="I658" s="43">
        <f t="shared" si="20"/>
        <v>96500</v>
      </c>
      <c r="J658" s="49">
        <f t="shared" si="21"/>
        <v>94500</v>
      </c>
      <c r="K658" s="60">
        <v>88300</v>
      </c>
      <c r="L658" s="3"/>
    </row>
    <row r="659" spans="2:12" ht="12" customHeight="1">
      <c r="B659" s="48">
        <v>654</v>
      </c>
      <c r="C659" s="56" t="s">
        <v>80</v>
      </c>
      <c r="D659" s="56" t="s">
        <v>4</v>
      </c>
      <c r="E659" s="56">
        <v>56</v>
      </c>
      <c r="F659" s="57">
        <v>3290</v>
      </c>
      <c r="G659" s="58">
        <v>6.3E-2</v>
      </c>
      <c r="H659" s="59" t="s">
        <v>195</v>
      </c>
      <c r="I659" s="43">
        <f t="shared" si="20"/>
        <v>96500</v>
      </c>
      <c r="J659" s="49">
        <f t="shared" si="21"/>
        <v>94500</v>
      </c>
      <c r="K659" s="60">
        <v>88300</v>
      </c>
      <c r="L659" s="3"/>
    </row>
    <row r="660" spans="2:12" ht="12" customHeight="1">
      <c r="B660" s="48">
        <v>655</v>
      </c>
      <c r="C660" s="56" t="s">
        <v>192</v>
      </c>
      <c r="D660" s="56" t="s">
        <v>4</v>
      </c>
      <c r="E660" s="56">
        <v>32</v>
      </c>
      <c r="F660" s="57">
        <v>1220</v>
      </c>
      <c r="G660" s="58">
        <v>1.59</v>
      </c>
      <c r="H660" s="59" t="s">
        <v>195</v>
      </c>
      <c r="I660" s="43">
        <f t="shared" si="20"/>
        <v>90200</v>
      </c>
      <c r="J660" s="49">
        <f t="shared" si="21"/>
        <v>88200</v>
      </c>
      <c r="K660" s="60">
        <v>82400</v>
      </c>
      <c r="L660" s="3"/>
    </row>
    <row r="661" spans="2:12" ht="12" customHeight="1">
      <c r="B661" s="48">
        <v>656</v>
      </c>
      <c r="C661" s="56" t="s">
        <v>234</v>
      </c>
      <c r="D661" s="56" t="s">
        <v>4</v>
      </c>
      <c r="E661" s="56">
        <v>18</v>
      </c>
      <c r="F661" s="57">
        <v>5100</v>
      </c>
      <c r="G661" s="58">
        <f>1.41-0.01</f>
        <v>1.4</v>
      </c>
      <c r="H661" s="59" t="s">
        <v>195</v>
      </c>
      <c r="I661" s="43">
        <f t="shared" si="20"/>
        <v>96500</v>
      </c>
      <c r="J661" s="49">
        <f t="shared" si="21"/>
        <v>94500</v>
      </c>
      <c r="K661" s="60">
        <v>88300</v>
      </c>
      <c r="L661" s="3"/>
    </row>
    <row r="662" spans="2:12" ht="12" customHeight="1">
      <c r="B662" s="48">
        <v>657</v>
      </c>
      <c r="C662" s="56" t="s">
        <v>234</v>
      </c>
      <c r="D662" s="56" t="s">
        <v>4</v>
      </c>
      <c r="E662" s="56">
        <v>12</v>
      </c>
      <c r="F662" s="57">
        <v>4065</v>
      </c>
      <c r="G662" s="58">
        <f>0.018-0.011</f>
        <v>6.9999999999999993E-3</v>
      </c>
      <c r="H662" s="59" t="s">
        <v>195</v>
      </c>
      <c r="I662" s="43">
        <f t="shared" si="20"/>
        <v>96500</v>
      </c>
      <c r="J662" s="49">
        <f t="shared" si="21"/>
        <v>94500</v>
      </c>
      <c r="K662" s="60">
        <v>88300</v>
      </c>
      <c r="L662" s="3"/>
    </row>
    <row r="663" spans="2:12" ht="12" customHeight="1">
      <c r="B663" s="48">
        <v>658</v>
      </c>
      <c r="C663" s="56" t="s">
        <v>234</v>
      </c>
      <c r="D663" s="56" t="s">
        <v>4</v>
      </c>
      <c r="E663" s="56">
        <v>15</v>
      </c>
      <c r="F663" s="57">
        <v>2180</v>
      </c>
      <c r="G663" s="58">
        <f>0.322-0.047</f>
        <v>0.27500000000000002</v>
      </c>
      <c r="H663" s="59"/>
      <c r="I663" s="43">
        <f t="shared" si="20"/>
        <v>65100</v>
      </c>
      <c r="J663" s="49">
        <f t="shared" si="21"/>
        <v>63100</v>
      </c>
      <c r="K663" s="60">
        <v>58900</v>
      </c>
      <c r="L663" s="3"/>
    </row>
    <row r="664" spans="2:12" ht="12" customHeight="1">
      <c r="B664" s="48">
        <v>659</v>
      </c>
      <c r="C664" s="56" t="s">
        <v>234</v>
      </c>
      <c r="D664" s="56" t="s">
        <v>4</v>
      </c>
      <c r="E664" s="56">
        <v>18.5</v>
      </c>
      <c r="F664" s="57">
        <v>1515</v>
      </c>
      <c r="G664" s="58">
        <v>0.03</v>
      </c>
      <c r="H664" s="59"/>
      <c r="I664" s="43">
        <f t="shared" si="20"/>
        <v>96500</v>
      </c>
      <c r="J664" s="49">
        <f t="shared" si="21"/>
        <v>94500</v>
      </c>
      <c r="K664" s="60">
        <v>88300</v>
      </c>
      <c r="L664" s="3"/>
    </row>
    <row r="665" spans="2:12" ht="12" customHeight="1">
      <c r="B665" s="48">
        <v>660</v>
      </c>
      <c r="C665" s="56" t="s">
        <v>234</v>
      </c>
      <c r="D665" s="56" t="s">
        <v>4</v>
      </c>
      <c r="E665" s="56">
        <v>26</v>
      </c>
      <c r="F665" s="57">
        <v>5000</v>
      </c>
      <c r="G665" s="58">
        <v>2.1000000000000001E-2</v>
      </c>
      <c r="H665" s="59" t="s">
        <v>195</v>
      </c>
      <c r="I665" s="43">
        <f t="shared" si="20"/>
        <v>96500</v>
      </c>
      <c r="J665" s="49">
        <f t="shared" si="21"/>
        <v>94500</v>
      </c>
      <c r="K665" s="60">
        <v>88300</v>
      </c>
      <c r="L665" s="3"/>
    </row>
    <row r="666" spans="2:12" ht="12" customHeight="1">
      <c r="B666" s="48">
        <v>661</v>
      </c>
      <c r="C666" s="56" t="s">
        <v>234</v>
      </c>
      <c r="D666" s="56" t="s">
        <v>4</v>
      </c>
      <c r="E666" s="56">
        <v>48</v>
      </c>
      <c r="F666" s="57">
        <v>1565</v>
      </c>
      <c r="G666" s="58">
        <v>2.1999999999999999E-2</v>
      </c>
      <c r="H666" s="59"/>
      <c r="I666" s="43">
        <f t="shared" si="20"/>
        <v>96500</v>
      </c>
      <c r="J666" s="49">
        <f t="shared" si="21"/>
        <v>94500</v>
      </c>
      <c r="K666" s="60">
        <v>88300</v>
      </c>
      <c r="L666" s="3"/>
    </row>
    <row r="667" spans="2:12" ht="12" customHeight="1">
      <c r="B667" s="48">
        <v>662</v>
      </c>
      <c r="C667" s="56" t="s">
        <v>234</v>
      </c>
      <c r="D667" s="56" t="s">
        <v>4</v>
      </c>
      <c r="E667" s="56">
        <v>52</v>
      </c>
      <c r="F667" s="57">
        <v>3300</v>
      </c>
      <c r="G667" s="58">
        <f>0.994-0.099-0.515-0.306-0.018</f>
        <v>5.6000000000000008E-2</v>
      </c>
      <c r="H667" s="59"/>
      <c r="I667" s="43">
        <f t="shared" si="20"/>
        <v>96500</v>
      </c>
      <c r="J667" s="49">
        <f t="shared" si="21"/>
        <v>94500</v>
      </c>
      <c r="K667" s="60">
        <v>88300</v>
      </c>
      <c r="L667" s="3"/>
    </row>
    <row r="668" spans="2:12" ht="12" customHeight="1">
      <c r="B668" s="48">
        <v>663</v>
      </c>
      <c r="C668" s="56" t="s">
        <v>81</v>
      </c>
      <c r="D668" s="56" t="s">
        <v>4</v>
      </c>
      <c r="E668" s="56">
        <v>205</v>
      </c>
      <c r="F668" s="57">
        <v>1630</v>
      </c>
      <c r="G668" s="58">
        <v>0.44</v>
      </c>
      <c r="H668" s="59" t="s">
        <v>6</v>
      </c>
      <c r="I668" s="43">
        <f t="shared" si="20"/>
        <v>98200</v>
      </c>
      <c r="J668" s="49">
        <f t="shared" si="21"/>
        <v>96200</v>
      </c>
      <c r="K668" s="60">
        <v>89900</v>
      </c>
      <c r="L668" s="3"/>
    </row>
    <row r="669" spans="2:12" ht="12" customHeight="1">
      <c r="B669" s="48">
        <v>664</v>
      </c>
      <c r="C669" s="56" t="s">
        <v>234</v>
      </c>
      <c r="D669" s="56" t="s">
        <v>4</v>
      </c>
      <c r="E669" s="56">
        <v>225</v>
      </c>
      <c r="F669" s="57">
        <v>120</v>
      </c>
      <c r="G669" s="58">
        <v>0.04</v>
      </c>
      <c r="H669" s="59" t="s">
        <v>6</v>
      </c>
      <c r="I669" s="43">
        <f t="shared" si="20"/>
        <v>109200</v>
      </c>
      <c r="J669" s="49">
        <f t="shared" si="21"/>
        <v>107200</v>
      </c>
      <c r="K669" s="60">
        <v>100100</v>
      </c>
      <c r="L669" s="5"/>
    </row>
    <row r="670" spans="2:12" ht="12" customHeight="1">
      <c r="B670" s="48">
        <v>665</v>
      </c>
      <c r="C670" s="56" t="s">
        <v>234</v>
      </c>
      <c r="D670" s="56" t="s">
        <v>4</v>
      </c>
      <c r="E670" s="56">
        <v>400</v>
      </c>
      <c r="F670" s="57">
        <v>65</v>
      </c>
      <c r="G670" s="58">
        <v>7.4999999999999997E-2</v>
      </c>
      <c r="H670" s="59"/>
      <c r="I670" s="43">
        <f t="shared" si="20"/>
        <v>121800</v>
      </c>
      <c r="J670" s="49">
        <f t="shared" si="21"/>
        <v>119800</v>
      </c>
      <c r="K670" s="60">
        <v>111900</v>
      </c>
      <c r="L670" s="3"/>
    </row>
    <row r="671" spans="2:12" ht="12" customHeight="1">
      <c r="B671" s="48">
        <v>666</v>
      </c>
      <c r="C671" s="56" t="s">
        <v>82</v>
      </c>
      <c r="D671" s="56" t="s">
        <v>4</v>
      </c>
      <c r="E671" s="56">
        <v>14</v>
      </c>
      <c r="F671" s="57">
        <v>3100</v>
      </c>
      <c r="G671" s="58">
        <f>0.067-0.003-0.004-0.009-0.032-0.004</f>
        <v>1.4999999999999996E-2</v>
      </c>
      <c r="H671" s="59" t="s">
        <v>195</v>
      </c>
      <c r="I671" s="43">
        <f t="shared" si="20"/>
        <v>328400</v>
      </c>
      <c r="J671" s="49">
        <f t="shared" si="21"/>
        <v>326400</v>
      </c>
      <c r="K671" s="60">
        <v>305000</v>
      </c>
      <c r="L671" s="3"/>
    </row>
    <row r="672" spans="2:12" ht="12" customHeight="1">
      <c r="B672" s="48">
        <v>667</v>
      </c>
      <c r="C672" s="56" t="s">
        <v>82</v>
      </c>
      <c r="D672" s="56" t="s">
        <v>4</v>
      </c>
      <c r="E672" s="56">
        <v>20</v>
      </c>
      <c r="F672" s="57">
        <v>3510</v>
      </c>
      <c r="G672" s="58">
        <v>0.38</v>
      </c>
      <c r="H672" s="59" t="s">
        <v>280</v>
      </c>
      <c r="I672" s="43">
        <f t="shared" si="20"/>
        <v>328400</v>
      </c>
      <c r="J672" s="49">
        <f t="shared" si="21"/>
        <v>326400</v>
      </c>
      <c r="K672" s="60">
        <v>305000</v>
      </c>
      <c r="L672" s="5"/>
    </row>
    <row r="673" spans="2:12" ht="12" customHeight="1">
      <c r="B673" s="48">
        <v>668</v>
      </c>
      <c r="C673" s="56" t="s">
        <v>82</v>
      </c>
      <c r="D673" s="56" t="s">
        <v>4</v>
      </c>
      <c r="E673" s="56">
        <v>20</v>
      </c>
      <c r="F673" s="57">
        <v>3190</v>
      </c>
      <c r="G673" s="58">
        <v>5.5E-2</v>
      </c>
      <c r="H673" s="59" t="s">
        <v>280</v>
      </c>
      <c r="I673" s="43">
        <f t="shared" si="20"/>
        <v>328400</v>
      </c>
      <c r="J673" s="49">
        <f t="shared" si="21"/>
        <v>326400</v>
      </c>
      <c r="K673" s="60">
        <v>305000</v>
      </c>
      <c r="L673" s="3"/>
    </row>
    <row r="674" spans="2:12" ht="12" customHeight="1">
      <c r="B674" s="48">
        <v>669</v>
      </c>
      <c r="C674" s="56" t="s">
        <v>82</v>
      </c>
      <c r="D674" s="56" t="s">
        <v>4</v>
      </c>
      <c r="E674" s="56">
        <v>20</v>
      </c>
      <c r="F674" s="57">
        <v>2440</v>
      </c>
      <c r="G674" s="58">
        <v>0.06</v>
      </c>
      <c r="H674" s="59" t="s">
        <v>280</v>
      </c>
      <c r="I674" s="43">
        <f t="shared" si="20"/>
        <v>328400</v>
      </c>
      <c r="J674" s="49">
        <f t="shared" si="21"/>
        <v>326400</v>
      </c>
      <c r="K674" s="60">
        <v>305000</v>
      </c>
      <c r="L674" s="3"/>
    </row>
    <row r="675" spans="2:12" ht="12" customHeight="1">
      <c r="B675" s="48">
        <v>670</v>
      </c>
      <c r="C675" s="56" t="s">
        <v>82</v>
      </c>
      <c r="D675" s="56" t="s">
        <v>4</v>
      </c>
      <c r="E675" s="56">
        <v>21</v>
      </c>
      <c r="F675" s="57">
        <v>2710</v>
      </c>
      <c r="G675" s="58">
        <f>0.065-0.01-0.021</f>
        <v>3.4000000000000002E-2</v>
      </c>
      <c r="H675" s="59"/>
      <c r="I675" s="43">
        <f t="shared" si="20"/>
        <v>328400</v>
      </c>
      <c r="J675" s="49">
        <f t="shared" si="21"/>
        <v>326400</v>
      </c>
      <c r="K675" s="60">
        <v>305000</v>
      </c>
      <c r="L675" s="3"/>
    </row>
    <row r="676" spans="2:12" ht="12" customHeight="1">
      <c r="B676" s="48">
        <v>671</v>
      </c>
      <c r="C676" s="56" t="s">
        <v>82</v>
      </c>
      <c r="D676" s="56" t="s">
        <v>4</v>
      </c>
      <c r="E676" s="56">
        <v>21.5</v>
      </c>
      <c r="F676" s="57">
        <v>4040</v>
      </c>
      <c r="G676" s="58">
        <f>0.599-0.023-0.045-0.042</f>
        <v>0.48899999999999993</v>
      </c>
      <c r="H676" s="59"/>
      <c r="I676" s="43">
        <f t="shared" si="20"/>
        <v>328400</v>
      </c>
      <c r="J676" s="49">
        <f t="shared" si="21"/>
        <v>326400</v>
      </c>
      <c r="K676" s="60">
        <v>305000</v>
      </c>
      <c r="L676" s="5"/>
    </row>
    <row r="677" spans="2:12" ht="12" customHeight="1">
      <c r="B677" s="48">
        <v>672</v>
      </c>
      <c r="C677" s="56" t="s">
        <v>82</v>
      </c>
      <c r="D677" s="56" t="s">
        <v>4</v>
      </c>
      <c r="E677" s="56">
        <v>24</v>
      </c>
      <c r="F677" s="57">
        <v>2070</v>
      </c>
      <c r="G677" s="58">
        <f>1.185-0.027</f>
        <v>1.1580000000000001</v>
      </c>
      <c r="H677" s="59" t="s">
        <v>195</v>
      </c>
      <c r="I677" s="43">
        <f t="shared" si="20"/>
        <v>328400</v>
      </c>
      <c r="J677" s="49">
        <f t="shared" si="21"/>
        <v>326400</v>
      </c>
      <c r="K677" s="60">
        <v>305000</v>
      </c>
      <c r="L677" s="3"/>
    </row>
    <row r="678" spans="2:12" ht="12" customHeight="1">
      <c r="B678" s="48">
        <v>673</v>
      </c>
      <c r="C678" s="56" t="s">
        <v>82</v>
      </c>
      <c r="D678" s="56" t="s">
        <v>4</v>
      </c>
      <c r="E678" s="56">
        <v>24</v>
      </c>
      <c r="F678" s="57">
        <v>3370</v>
      </c>
      <c r="G678" s="58">
        <f>1.435-0.039-0.067</f>
        <v>1.3290000000000002</v>
      </c>
      <c r="H678" s="59" t="s">
        <v>195</v>
      </c>
      <c r="I678" s="43">
        <f t="shared" si="20"/>
        <v>328400</v>
      </c>
      <c r="J678" s="49">
        <f t="shared" si="21"/>
        <v>326400</v>
      </c>
      <c r="K678" s="60">
        <v>305000</v>
      </c>
      <c r="L678" s="3"/>
    </row>
    <row r="679" spans="2:12" ht="12" customHeight="1">
      <c r="B679" s="48">
        <v>674</v>
      </c>
      <c r="C679" s="56" t="s">
        <v>82</v>
      </c>
      <c r="D679" s="56" t="s">
        <v>4</v>
      </c>
      <c r="E679" s="56">
        <v>24</v>
      </c>
      <c r="F679" s="57">
        <v>3910</v>
      </c>
      <c r="G679" s="58">
        <f>0.995-0.055-0.055</f>
        <v>0.8849999999999999</v>
      </c>
      <c r="H679" s="59" t="s">
        <v>195</v>
      </c>
      <c r="I679" s="43">
        <f t="shared" si="20"/>
        <v>328400</v>
      </c>
      <c r="J679" s="49">
        <f t="shared" si="21"/>
        <v>326400</v>
      </c>
      <c r="K679" s="60">
        <v>305000</v>
      </c>
      <c r="L679" s="3"/>
    </row>
    <row r="680" spans="2:12" ht="12" customHeight="1">
      <c r="B680" s="48">
        <v>675</v>
      </c>
      <c r="C680" s="56" t="s">
        <v>82</v>
      </c>
      <c r="D680" s="56" t="s">
        <v>4</v>
      </c>
      <c r="E680" s="56">
        <v>32</v>
      </c>
      <c r="F680" s="57">
        <v>3160</v>
      </c>
      <c r="G680" s="58">
        <f>0.545-0.123-0.041-0.06-0.06-0.02</f>
        <v>0.24100000000000008</v>
      </c>
      <c r="H680" s="59" t="s">
        <v>195</v>
      </c>
      <c r="I680" s="43">
        <f t="shared" si="20"/>
        <v>328400</v>
      </c>
      <c r="J680" s="49">
        <f t="shared" si="21"/>
        <v>326400</v>
      </c>
      <c r="K680" s="60">
        <v>305000</v>
      </c>
      <c r="L680" s="3"/>
    </row>
    <row r="681" spans="2:12" ht="12" customHeight="1">
      <c r="B681" s="48">
        <v>676</v>
      </c>
      <c r="C681" s="56" t="s">
        <v>82</v>
      </c>
      <c r="D681" s="56" t="s">
        <v>4</v>
      </c>
      <c r="E681" s="56">
        <v>32</v>
      </c>
      <c r="F681" s="57">
        <v>3225</v>
      </c>
      <c r="G681" s="58">
        <f>0.45-0.302-0.025</f>
        <v>0.12300000000000003</v>
      </c>
      <c r="H681" s="59" t="s">
        <v>195</v>
      </c>
      <c r="I681" s="43">
        <f t="shared" si="20"/>
        <v>328400</v>
      </c>
      <c r="J681" s="49">
        <f t="shared" si="21"/>
        <v>326400</v>
      </c>
      <c r="K681" s="60">
        <v>305000</v>
      </c>
      <c r="L681" s="3"/>
    </row>
    <row r="682" spans="2:12" ht="12" customHeight="1">
      <c r="B682" s="48">
        <v>677</v>
      </c>
      <c r="C682" s="56" t="s">
        <v>82</v>
      </c>
      <c r="D682" s="56" t="s">
        <v>4</v>
      </c>
      <c r="E682" s="56">
        <v>32</v>
      </c>
      <c r="F682" s="57">
        <v>3645</v>
      </c>
      <c r="G682" s="58">
        <v>0.52500000000000002</v>
      </c>
      <c r="H682" s="59" t="s">
        <v>195</v>
      </c>
      <c r="I682" s="43">
        <f t="shared" si="20"/>
        <v>328400</v>
      </c>
      <c r="J682" s="49">
        <f t="shared" si="21"/>
        <v>326400</v>
      </c>
      <c r="K682" s="60">
        <v>305000</v>
      </c>
      <c r="L682" s="3"/>
    </row>
    <row r="683" spans="2:12" ht="12" customHeight="1">
      <c r="B683" s="48">
        <v>678</v>
      </c>
      <c r="C683" s="56" t="s">
        <v>82</v>
      </c>
      <c r="D683" s="56" t="s">
        <v>4</v>
      </c>
      <c r="E683" s="56">
        <v>32</v>
      </c>
      <c r="F683" s="57">
        <v>3775</v>
      </c>
      <c r="G683" s="58">
        <v>0.22500000000000001</v>
      </c>
      <c r="H683" s="59" t="s">
        <v>195</v>
      </c>
      <c r="I683" s="43">
        <f t="shared" si="20"/>
        <v>328400</v>
      </c>
      <c r="J683" s="49">
        <f t="shared" si="21"/>
        <v>326400</v>
      </c>
      <c r="K683" s="60">
        <v>305000</v>
      </c>
      <c r="L683" s="3"/>
    </row>
    <row r="684" spans="2:12" ht="12" customHeight="1">
      <c r="B684" s="48">
        <v>679</v>
      </c>
      <c r="C684" s="56" t="s">
        <v>82</v>
      </c>
      <c r="D684" s="56" t="s">
        <v>4</v>
      </c>
      <c r="E684" s="56">
        <v>38</v>
      </c>
      <c r="F684" s="57">
        <v>2730</v>
      </c>
      <c r="G684" s="58">
        <f>0.149-0.033</f>
        <v>0.11599999999999999</v>
      </c>
      <c r="H684" s="59" t="s">
        <v>195</v>
      </c>
      <c r="I684" s="43">
        <f t="shared" si="20"/>
        <v>328400</v>
      </c>
      <c r="J684" s="49">
        <f t="shared" si="21"/>
        <v>326400</v>
      </c>
      <c r="K684" s="60">
        <v>305000</v>
      </c>
      <c r="L684" s="3"/>
    </row>
    <row r="685" spans="2:12" s="2" customFormat="1" ht="12" customHeight="1">
      <c r="B685" s="48">
        <v>680</v>
      </c>
      <c r="C685" s="56" t="s">
        <v>82</v>
      </c>
      <c r="D685" s="56" t="s">
        <v>4</v>
      </c>
      <c r="E685" s="56">
        <v>56</v>
      </c>
      <c r="F685" s="57">
        <v>2400</v>
      </c>
      <c r="G685" s="58">
        <v>4.4999999999999998E-2</v>
      </c>
      <c r="H685" s="59" t="s">
        <v>195</v>
      </c>
      <c r="I685" s="43">
        <f t="shared" si="20"/>
        <v>328400</v>
      </c>
      <c r="J685" s="49">
        <f t="shared" si="21"/>
        <v>326400</v>
      </c>
      <c r="K685" s="60">
        <v>305000</v>
      </c>
    </row>
    <row r="686" spans="2:12" ht="12" customHeight="1">
      <c r="B686" s="48">
        <v>681</v>
      </c>
      <c r="C686" s="56" t="s">
        <v>82</v>
      </c>
      <c r="D686" s="56" t="s">
        <v>4</v>
      </c>
      <c r="E686" s="56">
        <v>82</v>
      </c>
      <c r="F686" s="57">
        <v>2130</v>
      </c>
      <c r="G686" s="58">
        <v>8.6999999999999994E-2</v>
      </c>
      <c r="H686" s="59" t="s">
        <v>195</v>
      </c>
      <c r="I686" s="43">
        <f t="shared" si="20"/>
        <v>328400</v>
      </c>
      <c r="J686" s="49">
        <f t="shared" si="21"/>
        <v>326400</v>
      </c>
      <c r="K686" s="60">
        <v>305000</v>
      </c>
      <c r="L686" s="3"/>
    </row>
    <row r="687" spans="2:12" ht="12" customHeight="1">
      <c r="B687" s="48">
        <v>682</v>
      </c>
      <c r="C687" s="56" t="s">
        <v>82</v>
      </c>
      <c r="D687" s="56" t="s">
        <v>4</v>
      </c>
      <c r="E687" s="56">
        <v>105</v>
      </c>
      <c r="F687" s="57">
        <v>2105</v>
      </c>
      <c r="G687" s="58">
        <v>0.14000000000000001</v>
      </c>
      <c r="H687" s="59" t="s">
        <v>195</v>
      </c>
      <c r="I687" s="43">
        <f t="shared" si="20"/>
        <v>328400</v>
      </c>
      <c r="J687" s="49">
        <f t="shared" si="21"/>
        <v>326400</v>
      </c>
      <c r="K687" s="60">
        <v>305000</v>
      </c>
      <c r="L687" s="3"/>
    </row>
    <row r="688" spans="2:12" ht="12" customHeight="1">
      <c r="B688" s="48">
        <v>683</v>
      </c>
      <c r="C688" s="56" t="s">
        <v>82</v>
      </c>
      <c r="D688" s="56" t="s">
        <v>4</v>
      </c>
      <c r="E688" s="56">
        <v>110</v>
      </c>
      <c r="F688" s="57">
        <v>3743</v>
      </c>
      <c r="G688" s="58">
        <v>0.27500000000000002</v>
      </c>
      <c r="H688" s="59" t="s">
        <v>195</v>
      </c>
      <c r="I688" s="43">
        <f t="shared" si="20"/>
        <v>328400</v>
      </c>
      <c r="J688" s="49">
        <f t="shared" si="21"/>
        <v>326400</v>
      </c>
      <c r="K688" s="60">
        <v>305000</v>
      </c>
      <c r="L688" s="3"/>
    </row>
    <row r="689" spans="2:12" s="5" customFormat="1" ht="12" customHeight="1">
      <c r="B689" s="48">
        <v>684</v>
      </c>
      <c r="C689" s="56" t="s">
        <v>82</v>
      </c>
      <c r="D689" s="56" t="s">
        <v>4</v>
      </c>
      <c r="E689" s="56">
        <v>120</v>
      </c>
      <c r="F689" s="57">
        <v>1565</v>
      </c>
      <c r="G689" s="58">
        <v>0.13700000000000001</v>
      </c>
      <c r="H689" s="59" t="s">
        <v>195</v>
      </c>
      <c r="I689" s="43">
        <f t="shared" si="20"/>
        <v>328400</v>
      </c>
      <c r="J689" s="49">
        <f t="shared" si="21"/>
        <v>326400</v>
      </c>
      <c r="K689" s="60">
        <v>305000</v>
      </c>
      <c r="L689" s="3"/>
    </row>
    <row r="690" spans="2:12" ht="12" customHeight="1">
      <c r="B690" s="48">
        <v>685</v>
      </c>
      <c r="C690" s="56" t="s">
        <v>82</v>
      </c>
      <c r="D690" s="56" t="s">
        <v>4</v>
      </c>
      <c r="E690" s="56">
        <v>365</v>
      </c>
      <c r="F690" s="57">
        <v>90</v>
      </c>
      <c r="G690" s="58">
        <v>7.4999999999999997E-2</v>
      </c>
      <c r="H690" s="59" t="s">
        <v>6</v>
      </c>
      <c r="I690" s="43">
        <f t="shared" si="20"/>
        <v>374200</v>
      </c>
      <c r="J690" s="49">
        <f t="shared" si="21"/>
        <v>372200</v>
      </c>
      <c r="K690" s="60">
        <v>347800</v>
      </c>
      <c r="L690" s="3"/>
    </row>
    <row r="691" spans="2:12" ht="12" customHeight="1">
      <c r="B691" s="48">
        <v>686</v>
      </c>
      <c r="C691" s="56" t="s">
        <v>82</v>
      </c>
      <c r="D691" s="56" t="s">
        <v>4</v>
      </c>
      <c r="E691" s="56">
        <v>425</v>
      </c>
      <c r="F691" s="57">
        <v>90</v>
      </c>
      <c r="G691" s="58">
        <v>0.105</v>
      </c>
      <c r="H691" s="59" t="s">
        <v>6</v>
      </c>
      <c r="I691" s="43">
        <f t="shared" si="20"/>
        <v>374200</v>
      </c>
      <c r="J691" s="49">
        <f t="shared" si="21"/>
        <v>372200</v>
      </c>
      <c r="K691" s="60">
        <v>347800</v>
      </c>
      <c r="L691" s="3"/>
    </row>
    <row r="692" spans="2:12" ht="12" customHeight="1">
      <c r="B692" s="48">
        <v>687</v>
      </c>
      <c r="C692" s="56" t="s">
        <v>82</v>
      </c>
      <c r="D692" s="56" t="s">
        <v>4</v>
      </c>
      <c r="E692" s="56">
        <v>435</v>
      </c>
      <c r="F692" s="57">
        <v>87</v>
      </c>
      <c r="G692" s="58">
        <v>0.1</v>
      </c>
      <c r="H692" s="59" t="s">
        <v>6</v>
      </c>
      <c r="I692" s="43">
        <f t="shared" si="20"/>
        <v>374200</v>
      </c>
      <c r="J692" s="49">
        <f t="shared" si="21"/>
        <v>372200</v>
      </c>
      <c r="K692" s="60">
        <v>347800</v>
      </c>
      <c r="L692" s="3"/>
    </row>
    <row r="693" spans="2:12" ht="12" customHeight="1">
      <c r="B693" s="48">
        <v>688</v>
      </c>
      <c r="C693" s="56" t="s">
        <v>82</v>
      </c>
      <c r="D693" s="56" t="s">
        <v>4</v>
      </c>
      <c r="E693" s="56">
        <v>435</v>
      </c>
      <c r="F693" s="57">
        <v>88</v>
      </c>
      <c r="G693" s="58">
        <v>0.1</v>
      </c>
      <c r="H693" s="59" t="s">
        <v>6</v>
      </c>
      <c r="I693" s="43">
        <f t="shared" si="20"/>
        <v>374200</v>
      </c>
      <c r="J693" s="49">
        <f t="shared" si="21"/>
        <v>372200</v>
      </c>
      <c r="K693" s="60">
        <v>347800</v>
      </c>
      <c r="L693" s="3"/>
    </row>
    <row r="694" spans="2:12" ht="12" customHeight="1">
      <c r="B694" s="48">
        <v>689</v>
      </c>
      <c r="C694" s="56" t="s">
        <v>82</v>
      </c>
      <c r="D694" s="56" t="s">
        <v>4</v>
      </c>
      <c r="E694" s="56">
        <v>435</v>
      </c>
      <c r="F694" s="57">
        <v>88</v>
      </c>
      <c r="G694" s="58">
        <v>0.105</v>
      </c>
      <c r="H694" s="59" t="s">
        <v>6</v>
      </c>
      <c r="I694" s="43">
        <f t="shared" si="20"/>
        <v>374200</v>
      </c>
      <c r="J694" s="49">
        <f t="shared" si="21"/>
        <v>372200</v>
      </c>
      <c r="K694" s="60">
        <v>347800</v>
      </c>
      <c r="L694" s="3"/>
    </row>
    <row r="695" spans="2:12" ht="12" customHeight="1">
      <c r="B695" s="48">
        <v>690</v>
      </c>
      <c r="C695" s="56" t="s">
        <v>82</v>
      </c>
      <c r="D695" s="56" t="s">
        <v>4</v>
      </c>
      <c r="E695" s="56">
        <v>435</v>
      </c>
      <c r="F695" s="57">
        <v>90</v>
      </c>
      <c r="G695" s="58">
        <v>0.105</v>
      </c>
      <c r="H695" s="59" t="s">
        <v>6</v>
      </c>
      <c r="I695" s="43">
        <f t="shared" si="20"/>
        <v>374200</v>
      </c>
      <c r="J695" s="49">
        <f t="shared" si="21"/>
        <v>372200</v>
      </c>
      <c r="K695" s="60">
        <v>347800</v>
      </c>
      <c r="L695" s="3"/>
    </row>
    <row r="696" spans="2:12" ht="12" customHeight="1">
      <c r="B696" s="48">
        <v>691</v>
      </c>
      <c r="C696" s="56" t="s">
        <v>82</v>
      </c>
      <c r="D696" s="56" t="s">
        <v>4</v>
      </c>
      <c r="E696" s="56">
        <v>450</v>
      </c>
      <c r="F696" s="57">
        <v>100</v>
      </c>
      <c r="G696" s="58">
        <v>0.125</v>
      </c>
      <c r="H696" s="59" t="s">
        <v>6</v>
      </c>
      <c r="I696" s="43">
        <f t="shared" si="20"/>
        <v>374200</v>
      </c>
      <c r="J696" s="49">
        <f t="shared" si="21"/>
        <v>372200</v>
      </c>
      <c r="K696" s="60">
        <v>347800</v>
      </c>
      <c r="L696" s="3"/>
    </row>
    <row r="697" spans="2:12" ht="12" customHeight="1">
      <c r="B697" s="48">
        <v>692</v>
      </c>
      <c r="C697" s="56" t="s">
        <v>83</v>
      </c>
      <c r="D697" s="56" t="s">
        <v>4</v>
      </c>
      <c r="E697" s="56">
        <v>30</v>
      </c>
      <c r="F697" s="57">
        <v>3000</v>
      </c>
      <c r="G697" s="58">
        <f>0.044-0.028</f>
        <v>1.5999999999999997E-2</v>
      </c>
      <c r="H697" s="59"/>
      <c r="I697" s="43">
        <f t="shared" si="20"/>
        <v>109200</v>
      </c>
      <c r="J697" s="49">
        <f t="shared" si="21"/>
        <v>107200</v>
      </c>
      <c r="K697" s="60">
        <v>100100</v>
      </c>
      <c r="L697" s="5"/>
    </row>
    <row r="698" spans="2:12" s="5" customFormat="1" ht="12" customHeight="1">
      <c r="B698" s="48">
        <v>693</v>
      </c>
      <c r="C698" s="56" t="s">
        <v>283</v>
      </c>
      <c r="D698" s="56" t="s">
        <v>4</v>
      </c>
      <c r="E698" s="56">
        <v>22</v>
      </c>
      <c r="F698" s="57">
        <v>2510</v>
      </c>
      <c r="G698" s="58">
        <v>7.0000000000000001E-3</v>
      </c>
      <c r="H698" s="59" t="s">
        <v>195</v>
      </c>
      <c r="I698" s="43">
        <f t="shared" si="20"/>
        <v>115500</v>
      </c>
      <c r="J698" s="49">
        <f t="shared" si="21"/>
        <v>113500</v>
      </c>
      <c r="K698" s="60">
        <v>106000</v>
      </c>
      <c r="L698" s="3"/>
    </row>
    <row r="699" spans="2:12" ht="12" customHeight="1">
      <c r="B699" s="48">
        <v>694</v>
      </c>
      <c r="C699" s="56" t="s">
        <v>284</v>
      </c>
      <c r="D699" s="56" t="s">
        <v>4</v>
      </c>
      <c r="E699" s="56">
        <v>16</v>
      </c>
      <c r="F699" s="57">
        <v>2725</v>
      </c>
      <c r="G699" s="58">
        <v>1.7000000000000001E-2</v>
      </c>
      <c r="H699" s="59" t="s">
        <v>195</v>
      </c>
      <c r="I699" s="43">
        <f t="shared" si="20"/>
        <v>115500</v>
      </c>
      <c r="J699" s="49">
        <f t="shared" si="21"/>
        <v>113500</v>
      </c>
      <c r="K699" s="60">
        <v>106000</v>
      </c>
      <c r="L699" s="3"/>
    </row>
    <row r="700" spans="2:12" ht="12" customHeight="1">
      <c r="B700" s="48">
        <v>695</v>
      </c>
      <c r="C700" s="56" t="s">
        <v>84</v>
      </c>
      <c r="D700" s="56" t="s">
        <v>4</v>
      </c>
      <c r="E700" s="56">
        <v>17</v>
      </c>
      <c r="F700" s="57">
        <v>3250</v>
      </c>
      <c r="G700" s="58">
        <f>0.115-0.005-0.023-0.011-0.006-0.021-0.005</f>
        <v>4.3999999999999991E-2</v>
      </c>
      <c r="H700" s="59" t="s">
        <v>195</v>
      </c>
      <c r="I700" s="43">
        <f t="shared" si="20"/>
        <v>96500</v>
      </c>
      <c r="J700" s="49">
        <f t="shared" si="21"/>
        <v>94500</v>
      </c>
      <c r="K700" s="60">
        <v>88300</v>
      </c>
      <c r="L700" s="3"/>
    </row>
    <row r="701" spans="2:12" ht="12" customHeight="1">
      <c r="B701" s="48">
        <v>696</v>
      </c>
      <c r="C701" s="56" t="s">
        <v>84</v>
      </c>
      <c r="D701" s="56" t="s">
        <v>4</v>
      </c>
      <c r="E701" s="56">
        <v>20</v>
      </c>
      <c r="F701" s="57">
        <v>5575</v>
      </c>
      <c r="G701" s="58">
        <v>0.14000000000000001</v>
      </c>
      <c r="H701" s="59" t="s">
        <v>195</v>
      </c>
      <c r="I701" s="43">
        <f t="shared" si="20"/>
        <v>102800</v>
      </c>
      <c r="J701" s="49">
        <f t="shared" si="21"/>
        <v>100800</v>
      </c>
      <c r="K701" s="60">
        <v>94200</v>
      </c>
      <c r="L701" s="3"/>
    </row>
    <row r="702" spans="2:12" ht="12" customHeight="1">
      <c r="B702" s="48">
        <v>697</v>
      </c>
      <c r="C702" s="56" t="s">
        <v>84</v>
      </c>
      <c r="D702" s="56" t="s">
        <v>4</v>
      </c>
      <c r="E702" s="56">
        <v>30</v>
      </c>
      <c r="F702" s="57">
        <v>1280</v>
      </c>
      <c r="G702" s="58">
        <f>1.066-0.034-0.095-0.1-0.063-0.625-0.024-0.052</f>
        <v>7.3000000000000037E-2</v>
      </c>
      <c r="H702" s="59" t="s">
        <v>195</v>
      </c>
      <c r="I702" s="43">
        <f t="shared" si="20"/>
        <v>71400</v>
      </c>
      <c r="J702" s="49">
        <f t="shared" si="21"/>
        <v>69400</v>
      </c>
      <c r="K702" s="60">
        <v>64800</v>
      </c>
      <c r="L702" s="3"/>
    </row>
    <row r="703" spans="2:12" ht="12" customHeight="1">
      <c r="B703" s="48">
        <v>698</v>
      </c>
      <c r="C703" s="56" t="s">
        <v>84</v>
      </c>
      <c r="D703" s="74" t="s">
        <v>4</v>
      </c>
      <c r="E703" s="74">
        <v>37</v>
      </c>
      <c r="F703" s="77">
        <v>3050</v>
      </c>
      <c r="G703" s="75">
        <v>2.5000000000000001E-2</v>
      </c>
      <c r="H703" s="78" t="s">
        <v>195</v>
      </c>
      <c r="I703" s="43">
        <f t="shared" si="20"/>
        <v>96500</v>
      </c>
      <c r="J703" s="49">
        <f t="shared" si="21"/>
        <v>94500</v>
      </c>
      <c r="K703" s="60">
        <v>88300</v>
      </c>
      <c r="L703" s="3"/>
    </row>
    <row r="704" spans="2:12" ht="12" customHeight="1">
      <c r="B704" s="48">
        <v>699</v>
      </c>
      <c r="C704" s="56" t="s">
        <v>84</v>
      </c>
      <c r="D704" s="56" t="s">
        <v>4</v>
      </c>
      <c r="E704" s="56">
        <v>38</v>
      </c>
      <c r="F704" s="57">
        <v>2840</v>
      </c>
      <c r="G704" s="58">
        <f>1.905-0.375</f>
        <v>1.53</v>
      </c>
      <c r="H704" s="59" t="s">
        <v>195</v>
      </c>
      <c r="I704" s="43">
        <f t="shared" si="20"/>
        <v>96500</v>
      </c>
      <c r="J704" s="49">
        <f t="shared" si="21"/>
        <v>94500</v>
      </c>
      <c r="K704" s="60">
        <v>88300</v>
      </c>
      <c r="L704" s="3"/>
    </row>
    <row r="705" spans="1:12" ht="12" customHeight="1">
      <c r="B705" s="48">
        <v>700</v>
      </c>
      <c r="C705" s="56" t="s">
        <v>84</v>
      </c>
      <c r="D705" s="56" t="s">
        <v>4</v>
      </c>
      <c r="E705" s="56">
        <v>50</v>
      </c>
      <c r="F705" s="57">
        <v>4295</v>
      </c>
      <c r="G705" s="58">
        <f>0.065+0.066</f>
        <v>0.13100000000000001</v>
      </c>
      <c r="H705" s="59" t="s">
        <v>195</v>
      </c>
      <c r="I705" s="43">
        <f t="shared" si="20"/>
        <v>102800</v>
      </c>
      <c r="J705" s="49">
        <f t="shared" si="21"/>
        <v>100800</v>
      </c>
      <c r="K705" s="60">
        <v>94200</v>
      </c>
      <c r="L705" s="3"/>
    </row>
    <row r="706" spans="1:12" ht="12.75" customHeight="1">
      <c r="B706" s="48">
        <v>701</v>
      </c>
      <c r="C706" s="56" t="s">
        <v>84</v>
      </c>
      <c r="D706" s="56" t="s">
        <v>4</v>
      </c>
      <c r="E706" s="56">
        <v>150</v>
      </c>
      <c r="F706" s="57">
        <v>3020</v>
      </c>
      <c r="G706" s="58">
        <v>0.42</v>
      </c>
      <c r="H706" s="59" t="s">
        <v>280</v>
      </c>
      <c r="I706" s="43">
        <f t="shared" si="20"/>
        <v>102800</v>
      </c>
      <c r="J706" s="49">
        <f t="shared" si="21"/>
        <v>100800</v>
      </c>
      <c r="K706" s="60">
        <v>94200</v>
      </c>
      <c r="L706" s="3"/>
    </row>
    <row r="707" spans="1:12" ht="12" customHeight="1">
      <c r="B707" s="48">
        <v>702</v>
      </c>
      <c r="C707" s="56" t="s">
        <v>85</v>
      </c>
      <c r="D707" s="56" t="s">
        <v>4</v>
      </c>
      <c r="E707" s="56">
        <v>100</v>
      </c>
      <c r="F707" s="57">
        <v>4430</v>
      </c>
      <c r="G707" s="58">
        <f>1.272-0.232-0.268-0.25</f>
        <v>0.52200000000000002</v>
      </c>
      <c r="H707" s="59" t="s">
        <v>195</v>
      </c>
      <c r="I707" s="43">
        <f t="shared" si="20"/>
        <v>96500</v>
      </c>
      <c r="J707" s="49">
        <f t="shared" si="21"/>
        <v>94500</v>
      </c>
      <c r="K707" s="60">
        <v>88300</v>
      </c>
      <c r="L707" s="3"/>
    </row>
    <row r="708" spans="1:12" ht="12" customHeight="1">
      <c r="B708" s="48">
        <v>703</v>
      </c>
      <c r="C708" s="56" t="s">
        <v>85</v>
      </c>
      <c r="D708" s="56" t="s">
        <v>4</v>
      </c>
      <c r="E708" s="56">
        <v>240</v>
      </c>
      <c r="F708" s="57">
        <v>1950</v>
      </c>
      <c r="G708" s="58">
        <v>1.2450000000000001</v>
      </c>
      <c r="H708" s="59" t="s">
        <v>6</v>
      </c>
      <c r="I708" s="43">
        <f t="shared" si="20"/>
        <v>90200</v>
      </c>
      <c r="J708" s="49">
        <f t="shared" si="21"/>
        <v>88200</v>
      </c>
      <c r="K708" s="60">
        <v>82400</v>
      </c>
      <c r="L708" s="3"/>
    </row>
    <row r="709" spans="1:12" ht="12" customHeight="1">
      <c r="B709" s="48">
        <v>704</v>
      </c>
      <c r="C709" s="56" t="s">
        <v>86</v>
      </c>
      <c r="D709" s="56" t="s">
        <v>4</v>
      </c>
      <c r="E709" s="56">
        <v>36</v>
      </c>
      <c r="F709" s="57">
        <v>3835</v>
      </c>
      <c r="G709" s="58">
        <v>1.23</v>
      </c>
      <c r="H709" s="59" t="s">
        <v>195</v>
      </c>
      <c r="I709" s="43">
        <f t="shared" si="20"/>
        <v>86900</v>
      </c>
      <c r="J709" s="49">
        <f t="shared" si="21"/>
        <v>84900</v>
      </c>
      <c r="K709" s="60">
        <v>79300</v>
      </c>
      <c r="L709" s="3"/>
    </row>
    <row r="710" spans="1:12" s="5" customFormat="1" ht="12" customHeight="1">
      <c r="B710" s="48">
        <v>705</v>
      </c>
      <c r="C710" s="56" t="s">
        <v>86</v>
      </c>
      <c r="D710" s="56" t="s">
        <v>4</v>
      </c>
      <c r="E710" s="56">
        <v>60</v>
      </c>
      <c r="F710" s="57">
        <v>2825</v>
      </c>
      <c r="G710" s="58">
        <v>6.2E-2</v>
      </c>
      <c r="H710" s="59" t="s">
        <v>195</v>
      </c>
      <c r="I710" s="43">
        <f t="shared" ref="I710:I773" si="22">J710+2000</f>
        <v>104800</v>
      </c>
      <c r="J710" s="49">
        <f t="shared" si="21"/>
        <v>102800</v>
      </c>
      <c r="K710" s="60">
        <v>96000</v>
      </c>
      <c r="L710" s="3"/>
    </row>
    <row r="711" spans="1:12" customFormat="1" ht="12" customHeight="1">
      <c r="A711" s="4"/>
      <c r="B711" s="48">
        <v>706</v>
      </c>
      <c r="C711" s="56" t="s">
        <v>87</v>
      </c>
      <c r="D711" s="56" t="s">
        <v>4</v>
      </c>
      <c r="E711" s="56">
        <v>45</v>
      </c>
      <c r="F711" s="57">
        <v>3010</v>
      </c>
      <c r="G711" s="58">
        <v>3.6999999999999998E-2</v>
      </c>
      <c r="H711" s="59" t="s">
        <v>195</v>
      </c>
      <c r="I711" s="43">
        <f t="shared" si="22"/>
        <v>185200</v>
      </c>
      <c r="J711" s="49">
        <f t="shared" ref="J711:J774" si="23">ROUNDUP(K711*1.07,-2)</f>
        <v>183200</v>
      </c>
      <c r="K711" s="60">
        <v>171200</v>
      </c>
      <c r="L711" s="3"/>
    </row>
    <row r="712" spans="1:12" ht="12" customHeight="1">
      <c r="B712" s="48">
        <v>707</v>
      </c>
      <c r="C712" s="56" t="s">
        <v>87</v>
      </c>
      <c r="D712" s="56" t="s">
        <v>4</v>
      </c>
      <c r="E712" s="56">
        <v>50</v>
      </c>
      <c r="F712" s="57">
        <v>4530</v>
      </c>
      <c r="G712" s="58">
        <v>0.14099999999999999</v>
      </c>
      <c r="H712" s="59" t="s">
        <v>195</v>
      </c>
      <c r="I712" s="43">
        <f t="shared" si="22"/>
        <v>185200</v>
      </c>
      <c r="J712" s="49">
        <f t="shared" si="23"/>
        <v>183200</v>
      </c>
      <c r="K712" s="60">
        <v>171200</v>
      </c>
      <c r="L712"/>
    </row>
    <row r="713" spans="1:12" ht="12" customHeight="1">
      <c r="B713" s="48">
        <v>708</v>
      </c>
      <c r="C713" s="56" t="s">
        <v>87</v>
      </c>
      <c r="D713" s="56" t="s">
        <v>4</v>
      </c>
      <c r="E713" s="56">
        <v>90</v>
      </c>
      <c r="F713" s="57">
        <v>2360</v>
      </c>
      <c r="G713" s="58">
        <v>0.115</v>
      </c>
      <c r="H713" s="59" t="s">
        <v>195</v>
      </c>
      <c r="I713" s="43">
        <f t="shared" si="22"/>
        <v>185200</v>
      </c>
      <c r="J713" s="49">
        <f t="shared" si="23"/>
        <v>183200</v>
      </c>
      <c r="K713" s="60">
        <v>171200</v>
      </c>
      <c r="L713" s="3"/>
    </row>
    <row r="714" spans="1:12" ht="12" customHeight="1">
      <c r="B714" s="48">
        <v>709</v>
      </c>
      <c r="C714" s="56" t="s">
        <v>88</v>
      </c>
      <c r="D714" s="56" t="s">
        <v>4</v>
      </c>
      <c r="E714" s="56">
        <v>160</v>
      </c>
      <c r="F714" s="57">
        <v>2550</v>
      </c>
      <c r="G714" s="58">
        <v>0.4</v>
      </c>
      <c r="H714" s="59" t="s">
        <v>195</v>
      </c>
      <c r="I714" s="43">
        <f t="shared" si="22"/>
        <v>134300</v>
      </c>
      <c r="J714" s="49">
        <f t="shared" si="23"/>
        <v>132300</v>
      </c>
      <c r="K714" s="60">
        <v>123600</v>
      </c>
      <c r="L714" s="5"/>
    </row>
    <row r="715" spans="1:12" ht="12" customHeight="1">
      <c r="B715" s="48">
        <v>710</v>
      </c>
      <c r="C715" s="56" t="s">
        <v>89</v>
      </c>
      <c r="D715" s="56" t="s">
        <v>4</v>
      </c>
      <c r="E715" s="56">
        <v>50</v>
      </c>
      <c r="F715" s="57">
        <v>4550</v>
      </c>
      <c r="G715" s="58">
        <v>7.0000000000000007E-2</v>
      </c>
      <c r="H715" s="59" t="s">
        <v>195</v>
      </c>
      <c r="I715" s="43">
        <f t="shared" si="22"/>
        <v>85600</v>
      </c>
      <c r="J715" s="49">
        <f t="shared" si="23"/>
        <v>83600</v>
      </c>
      <c r="K715" s="60">
        <v>78100</v>
      </c>
      <c r="L715" s="3"/>
    </row>
    <row r="716" spans="1:12" ht="12" customHeight="1">
      <c r="B716" s="48">
        <v>711</v>
      </c>
      <c r="C716" s="56" t="s">
        <v>90</v>
      </c>
      <c r="D716" s="56" t="s">
        <v>4</v>
      </c>
      <c r="E716" s="56">
        <v>40</v>
      </c>
      <c r="F716" s="57">
        <v>2590</v>
      </c>
      <c r="G716" s="58">
        <f>1.033-0.305</f>
        <v>0.72799999999999998</v>
      </c>
      <c r="H716" s="59"/>
      <c r="I716" s="43">
        <f t="shared" si="22"/>
        <v>105100</v>
      </c>
      <c r="J716" s="49">
        <f t="shared" si="23"/>
        <v>103100</v>
      </c>
      <c r="K716" s="60">
        <v>96300</v>
      </c>
      <c r="L716" s="5"/>
    </row>
    <row r="717" spans="1:12" customFormat="1" ht="12" customHeight="1">
      <c r="A717" s="4"/>
      <c r="B717" s="48">
        <v>712</v>
      </c>
      <c r="C717" s="56" t="s">
        <v>212</v>
      </c>
      <c r="D717" s="56" t="s">
        <v>4</v>
      </c>
      <c r="E717" s="56">
        <v>120</v>
      </c>
      <c r="F717" s="57">
        <v>4105</v>
      </c>
      <c r="G717" s="58">
        <v>0.36</v>
      </c>
      <c r="H717" s="59" t="s">
        <v>195</v>
      </c>
      <c r="I717" s="43">
        <f t="shared" si="22"/>
        <v>121800</v>
      </c>
      <c r="J717" s="49">
        <f t="shared" si="23"/>
        <v>119800</v>
      </c>
      <c r="K717" s="60">
        <v>111900</v>
      </c>
    </row>
    <row r="718" spans="1:12" customFormat="1" ht="12" customHeight="1">
      <c r="A718" s="4"/>
      <c r="B718" s="48">
        <v>713</v>
      </c>
      <c r="C718" s="56" t="s">
        <v>212</v>
      </c>
      <c r="D718" s="56" t="s">
        <v>4</v>
      </c>
      <c r="E718" s="56">
        <v>120</v>
      </c>
      <c r="F718" s="57">
        <v>6055</v>
      </c>
      <c r="G718" s="58">
        <v>0.53200000000000003</v>
      </c>
      <c r="H718" s="59" t="s">
        <v>195</v>
      </c>
      <c r="I718" s="43">
        <f t="shared" si="22"/>
        <v>121800</v>
      </c>
      <c r="J718" s="49">
        <f t="shared" si="23"/>
        <v>119800</v>
      </c>
      <c r="K718" s="60">
        <v>111900</v>
      </c>
    </row>
    <row r="719" spans="1:12" ht="12" customHeight="1">
      <c r="B719" s="48">
        <v>714</v>
      </c>
      <c r="C719" s="56" t="s">
        <v>266</v>
      </c>
      <c r="D719" s="56" t="s">
        <v>4</v>
      </c>
      <c r="E719" s="56">
        <v>90</v>
      </c>
      <c r="F719" s="57">
        <v>2400</v>
      </c>
      <c r="G719" s="58">
        <f>0.118+0.168+0.17+0.24-0.168</f>
        <v>0.52800000000000002</v>
      </c>
      <c r="H719" s="59" t="s">
        <v>195</v>
      </c>
      <c r="I719" s="43">
        <f t="shared" si="22"/>
        <v>65100</v>
      </c>
      <c r="J719" s="49">
        <f t="shared" si="23"/>
        <v>63100</v>
      </c>
      <c r="K719" s="60">
        <v>58900</v>
      </c>
      <c r="L719" s="3"/>
    </row>
    <row r="720" spans="1:12" ht="12" customHeight="1">
      <c r="B720" s="48">
        <v>715</v>
      </c>
      <c r="C720" s="56" t="s">
        <v>242</v>
      </c>
      <c r="D720" s="56" t="s">
        <v>4</v>
      </c>
      <c r="E720" s="56">
        <v>120</v>
      </c>
      <c r="F720" s="57">
        <v>3730</v>
      </c>
      <c r="G720" s="58">
        <v>0.32700000000000001</v>
      </c>
      <c r="H720" s="59" t="s">
        <v>195</v>
      </c>
      <c r="I720" s="43">
        <f t="shared" si="22"/>
        <v>109200</v>
      </c>
      <c r="J720" s="49">
        <f t="shared" si="23"/>
        <v>107200</v>
      </c>
      <c r="K720" s="60">
        <v>100100</v>
      </c>
      <c r="L720" s="3"/>
    </row>
    <row r="721" spans="1:12" ht="12" customHeight="1">
      <c r="B721" s="48">
        <v>716</v>
      </c>
      <c r="C721" s="56" t="s">
        <v>91</v>
      </c>
      <c r="D721" s="56" t="s">
        <v>4</v>
      </c>
      <c r="E721" s="56">
        <v>50</v>
      </c>
      <c r="F721" s="57">
        <v>3010</v>
      </c>
      <c r="G721" s="58">
        <v>4.5999999999999999E-2</v>
      </c>
      <c r="H721" s="59" t="s">
        <v>195</v>
      </c>
      <c r="I721" s="43">
        <f t="shared" si="22"/>
        <v>128000</v>
      </c>
      <c r="J721" s="49">
        <f t="shared" si="23"/>
        <v>126000</v>
      </c>
      <c r="K721" s="60">
        <v>117700</v>
      </c>
      <c r="L721" s="5"/>
    </row>
    <row r="722" spans="1:12" ht="12" customHeight="1">
      <c r="B722" s="48">
        <v>717</v>
      </c>
      <c r="C722" s="56" t="s">
        <v>92</v>
      </c>
      <c r="D722" s="56" t="s">
        <v>4</v>
      </c>
      <c r="E722" s="56">
        <v>130</v>
      </c>
      <c r="F722" s="57" t="s">
        <v>93</v>
      </c>
      <c r="G722" s="58">
        <v>0.315</v>
      </c>
      <c r="H722" s="59" t="s">
        <v>6</v>
      </c>
      <c r="I722" s="43">
        <f t="shared" si="22"/>
        <v>173800</v>
      </c>
      <c r="J722" s="49">
        <f t="shared" si="23"/>
        <v>171800</v>
      </c>
      <c r="K722" s="60">
        <v>160500</v>
      </c>
      <c r="L722" s="3"/>
    </row>
    <row r="723" spans="1:12" ht="12" customHeight="1">
      <c r="B723" s="48">
        <v>718</v>
      </c>
      <c r="C723" s="56" t="s">
        <v>92</v>
      </c>
      <c r="D723" s="56" t="s">
        <v>4</v>
      </c>
      <c r="E723" s="56">
        <v>140</v>
      </c>
      <c r="F723" s="57" t="s">
        <v>94</v>
      </c>
      <c r="G723" s="58">
        <f>4.02-0.325-0.31-0.32</f>
        <v>3.0649999999999995</v>
      </c>
      <c r="H723" s="59" t="s">
        <v>6</v>
      </c>
      <c r="I723" s="43">
        <f t="shared" si="22"/>
        <v>173800</v>
      </c>
      <c r="J723" s="49">
        <f t="shared" si="23"/>
        <v>171800</v>
      </c>
      <c r="K723" s="60">
        <v>160500</v>
      </c>
      <c r="L723" s="3"/>
    </row>
    <row r="724" spans="1:12" customFormat="1" ht="12" customHeight="1">
      <c r="A724" s="4"/>
      <c r="B724" s="48">
        <v>719</v>
      </c>
      <c r="C724" s="56" t="s">
        <v>92</v>
      </c>
      <c r="D724" s="56" t="s">
        <v>4</v>
      </c>
      <c r="E724" s="56">
        <v>145</v>
      </c>
      <c r="F724" s="57">
        <v>2330</v>
      </c>
      <c r="G724" s="58">
        <v>0.32</v>
      </c>
      <c r="H724" s="59" t="s">
        <v>6</v>
      </c>
      <c r="I724" s="43">
        <f t="shared" si="22"/>
        <v>173800</v>
      </c>
      <c r="J724" s="49">
        <f t="shared" si="23"/>
        <v>171800</v>
      </c>
      <c r="K724" s="60">
        <v>160500</v>
      </c>
      <c r="L724" s="3"/>
    </row>
    <row r="725" spans="1:12" ht="12" customHeight="1">
      <c r="B725" s="48">
        <v>720</v>
      </c>
      <c r="C725" s="56" t="s">
        <v>95</v>
      </c>
      <c r="D725" s="56" t="s">
        <v>4</v>
      </c>
      <c r="E725" s="56">
        <v>32</v>
      </c>
      <c r="F725" s="57">
        <v>2370</v>
      </c>
      <c r="G725" s="58">
        <f>0.075-0.026</f>
        <v>4.9000000000000002E-2</v>
      </c>
      <c r="H725" s="59"/>
      <c r="I725" s="43">
        <f t="shared" si="22"/>
        <v>128000</v>
      </c>
      <c r="J725" s="49">
        <f t="shared" si="23"/>
        <v>126000</v>
      </c>
      <c r="K725" s="60">
        <v>117700</v>
      </c>
      <c r="L725"/>
    </row>
    <row r="726" spans="1:12" ht="12" customHeight="1">
      <c r="B726" s="48">
        <v>721</v>
      </c>
      <c r="C726" s="56" t="s">
        <v>290</v>
      </c>
      <c r="D726" s="56" t="s">
        <v>4</v>
      </c>
      <c r="E726" s="56">
        <v>180</v>
      </c>
      <c r="F726" s="57">
        <v>1580</v>
      </c>
      <c r="G726" s="58">
        <v>0.34499999999999997</v>
      </c>
      <c r="H726" s="59" t="s">
        <v>34</v>
      </c>
      <c r="I726" s="43">
        <f t="shared" si="22"/>
        <v>88000</v>
      </c>
      <c r="J726" s="49">
        <f t="shared" si="23"/>
        <v>86000</v>
      </c>
      <c r="K726" s="60">
        <v>80300</v>
      </c>
      <c r="L726" s="3"/>
    </row>
    <row r="727" spans="1:12" ht="12" customHeight="1">
      <c r="B727" s="48">
        <v>722</v>
      </c>
      <c r="C727" s="56" t="s">
        <v>290</v>
      </c>
      <c r="D727" s="56" t="s">
        <v>4</v>
      </c>
      <c r="E727" s="56">
        <v>220</v>
      </c>
      <c r="F727" s="57">
        <v>1900</v>
      </c>
      <c r="G727" s="58">
        <v>0.54500000000000004</v>
      </c>
      <c r="H727" s="59" t="s">
        <v>34</v>
      </c>
      <c r="I727" s="43">
        <f t="shared" si="22"/>
        <v>88000</v>
      </c>
      <c r="J727" s="49">
        <f t="shared" si="23"/>
        <v>86000</v>
      </c>
      <c r="K727" s="60">
        <v>80300</v>
      </c>
      <c r="L727" s="3"/>
    </row>
    <row r="728" spans="1:12" customFormat="1" ht="12" customHeight="1">
      <c r="A728" s="4"/>
      <c r="B728" s="48">
        <v>723</v>
      </c>
      <c r="C728" s="56" t="s">
        <v>290</v>
      </c>
      <c r="D728" s="56" t="s">
        <v>4</v>
      </c>
      <c r="E728" s="56">
        <v>230</v>
      </c>
      <c r="F728" s="57">
        <v>2240</v>
      </c>
      <c r="G728" s="58">
        <v>0.77500000000000002</v>
      </c>
      <c r="H728" s="59" t="s">
        <v>34</v>
      </c>
      <c r="I728" s="43">
        <f t="shared" si="22"/>
        <v>88000</v>
      </c>
      <c r="J728" s="49">
        <f t="shared" si="23"/>
        <v>86000</v>
      </c>
      <c r="K728" s="60">
        <v>80300</v>
      </c>
    </row>
    <row r="729" spans="1:12" ht="12" customHeight="1">
      <c r="B729" s="48">
        <v>724</v>
      </c>
      <c r="C729" s="56" t="s">
        <v>290</v>
      </c>
      <c r="D729" s="56" t="s">
        <v>4</v>
      </c>
      <c r="E729" s="56">
        <v>250</v>
      </c>
      <c r="F729" s="57">
        <v>1870</v>
      </c>
      <c r="G729" s="58">
        <v>0.85</v>
      </c>
      <c r="H729" s="59" t="s">
        <v>34</v>
      </c>
      <c r="I729" s="43">
        <f t="shared" si="22"/>
        <v>88000</v>
      </c>
      <c r="J729" s="49">
        <f t="shared" si="23"/>
        <v>86000</v>
      </c>
      <c r="K729" s="60">
        <v>80300</v>
      </c>
      <c r="L729" s="3"/>
    </row>
    <row r="730" spans="1:12" ht="12" customHeight="1">
      <c r="B730" s="48">
        <v>725</v>
      </c>
      <c r="C730" s="56" t="s">
        <v>290</v>
      </c>
      <c r="D730" s="56" t="s">
        <v>4</v>
      </c>
      <c r="E730" s="56">
        <v>255</v>
      </c>
      <c r="F730" s="57">
        <v>1925</v>
      </c>
      <c r="G730" s="58">
        <v>0.88500000000000001</v>
      </c>
      <c r="H730" s="59" t="s">
        <v>34</v>
      </c>
      <c r="I730" s="43">
        <f t="shared" si="22"/>
        <v>88000</v>
      </c>
      <c r="J730" s="49">
        <f t="shared" si="23"/>
        <v>86000</v>
      </c>
      <c r="K730" s="60">
        <v>80300</v>
      </c>
      <c r="L730" s="5"/>
    </row>
    <row r="731" spans="1:12" ht="12" customHeight="1">
      <c r="B731" s="48">
        <v>726</v>
      </c>
      <c r="C731" s="56" t="s">
        <v>290</v>
      </c>
      <c r="D731" s="56" t="s">
        <v>4</v>
      </c>
      <c r="E731" s="56">
        <v>265</v>
      </c>
      <c r="F731" s="57">
        <v>1920</v>
      </c>
      <c r="G731" s="58">
        <v>0.875</v>
      </c>
      <c r="H731" s="59" t="s">
        <v>34</v>
      </c>
      <c r="I731" s="43">
        <f t="shared" si="22"/>
        <v>88000</v>
      </c>
      <c r="J731" s="49">
        <f t="shared" si="23"/>
        <v>86000</v>
      </c>
      <c r="K731" s="60">
        <v>80300</v>
      </c>
      <c r="L731" s="3"/>
    </row>
    <row r="732" spans="1:12" ht="12" customHeight="1">
      <c r="B732" s="48">
        <v>727</v>
      </c>
      <c r="C732" s="56" t="s">
        <v>96</v>
      </c>
      <c r="D732" s="56" t="s">
        <v>4</v>
      </c>
      <c r="E732" s="56">
        <v>24</v>
      </c>
      <c r="F732" s="57">
        <v>6030</v>
      </c>
      <c r="G732" s="58">
        <v>4.2000000000000003E-2</v>
      </c>
      <c r="H732" s="59" t="s">
        <v>195</v>
      </c>
      <c r="I732" s="43">
        <f t="shared" si="22"/>
        <v>88000</v>
      </c>
      <c r="J732" s="49">
        <f t="shared" si="23"/>
        <v>86000</v>
      </c>
      <c r="K732" s="60">
        <v>80300</v>
      </c>
      <c r="L732" s="3"/>
    </row>
    <row r="733" spans="1:12" ht="12" customHeight="1">
      <c r="B733" s="48">
        <v>728</v>
      </c>
      <c r="C733" s="56" t="s">
        <v>96</v>
      </c>
      <c r="D733" s="56" t="s">
        <v>4</v>
      </c>
      <c r="E733" s="56">
        <v>28</v>
      </c>
      <c r="F733" s="57">
        <v>5855</v>
      </c>
      <c r="G733" s="58">
        <f>0.285-0.14</f>
        <v>0.14499999999999996</v>
      </c>
      <c r="H733" s="59" t="s">
        <v>195</v>
      </c>
      <c r="I733" s="43">
        <f t="shared" si="22"/>
        <v>88000</v>
      </c>
      <c r="J733" s="49">
        <f t="shared" si="23"/>
        <v>86000</v>
      </c>
      <c r="K733" s="60">
        <v>80300</v>
      </c>
      <c r="L733" s="3"/>
    </row>
    <row r="734" spans="1:12" ht="12.75" customHeight="1">
      <c r="B734" s="48">
        <v>729</v>
      </c>
      <c r="C734" s="56" t="s">
        <v>96</v>
      </c>
      <c r="D734" s="56" t="s">
        <v>4</v>
      </c>
      <c r="E734" s="56">
        <v>36</v>
      </c>
      <c r="F734" s="57">
        <v>3340</v>
      </c>
      <c r="G734" s="58">
        <f>0.295-0.25</f>
        <v>4.4999999999999984E-2</v>
      </c>
      <c r="H734" s="59" t="s">
        <v>195</v>
      </c>
      <c r="I734" s="43">
        <f t="shared" si="22"/>
        <v>88000</v>
      </c>
      <c r="J734" s="49">
        <f t="shared" si="23"/>
        <v>86000</v>
      </c>
      <c r="K734" s="60">
        <v>80300</v>
      </c>
      <c r="L734" s="3"/>
    </row>
    <row r="735" spans="1:12" customFormat="1" ht="12" customHeight="1">
      <c r="A735" s="4"/>
      <c r="B735" s="48">
        <v>730</v>
      </c>
      <c r="C735" s="56" t="s">
        <v>97</v>
      </c>
      <c r="D735" s="56" t="s">
        <v>4</v>
      </c>
      <c r="E735" s="56">
        <v>48</v>
      </c>
      <c r="F735" s="57" t="s">
        <v>98</v>
      </c>
      <c r="G735" s="58">
        <v>0.62</v>
      </c>
      <c r="H735" s="59" t="s">
        <v>195</v>
      </c>
      <c r="I735" s="43">
        <f t="shared" si="22"/>
        <v>90200</v>
      </c>
      <c r="J735" s="49">
        <f t="shared" si="23"/>
        <v>88200</v>
      </c>
      <c r="K735" s="60">
        <v>82400</v>
      </c>
    </row>
    <row r="736" spans="1:12" customFormat="1" ht="12" customHeight="1">
      <c r="A736" s="4"/>
      <c r="B736" s="48">
        <v>731</v>
      </c>
      <c r="C736" s="56" t="s">
        <v>99</v>
      </c>
      <c r="D736" s="56" t="s">
        <v>4</v>
      </c>
      <c r="E736" s="56">
        <v>32</v>
      </c>
      <c r="F736" s="57">
        <v>2295</v>
      </c>
      <c r="G736" s="58">
        <v>1.4999999999999999E-2</v>
      </c>
      <c r="H736" s="59" t="s">
        <v>195</v>
      </c>
      <c r="I736" s="43">
        <f t="shared" si="22"/>
        <v>90200</v>
      </c>
      <c r="J736" s="49">
        <f t="shared" si="23"/>
        <v>88200</v>
      </c>
      <c r="K736" s="60">
        <v>82400</v>
      </c>
    </row>
    <row r="737" spans="1:12" ht="12" customHeight="1">
      <c r="B737" s="48">
        <v>732</v>
      </c>
      <c r="C737" s="56" t="s">
        <v>99</v>
      </c>
      <c r="D737" s="56" t="s">
        <v>4</v>
      </c>
      <c r="E737" s="56">
        <v>34</v>
      </c>
      <c r="F737" s="57">
        <v>4310</v>
      </c>
      <c r="G737" s="58">
        <v>8.5000000000000006E-2</v>
      </c>
      <c r="H737" s="59" t="s">
        <v>195</v>
      </c>
      <c r="I737" s="43">
        <f t="shared" si="22"/>
        <v>90200</v>
      </c>
      <c r="J737" s="49">
        <f t="shared" si="23"/>
        <v>88200</v>
      </c>
      <c r="K737" s="60">
        <v>82400</v>
      </c>
      <c r="L737" s="3"/>
    </row>
    <row r="738" spans="1:12" ht="12" customHeight="1">
      <c r="B738" s="48">
        <v>733</v>
      </c>
      <c r="C738" s="56" t="s">
        <v>246</v>
      </c>
      <c r="D738" s="56" t="s">
        <v>4</v>
      </c>
      <c r="E738" s="56">
        <v>113</v>
      </c>
      <c r="F738" s="57">
        <v>3040</v>
      </c>
      <c r="G738" s="58">
        <v>1.48</v>
      </c>
      <c r="H738" s="59" t="s">
        <v>260</v>
      </c>
      <c r="I738" s="43">
        <f t="shared" si="22"/>
        <v>90200</v>
      </c>
      <c r="J738" s="49">
        <f t="shared" si="23"/>
        <v>88200</v>
      </c>
      <c r="K738" s="60">
        <v>82400</v>
      </c>
      <c r="L738" s="3"/>
    </row>
    <row r="739" spans="1:12" ht="12" customHeight="1">
      <c r="B739" s="48">
        <v>734</v>
      </c>
      <c r="C739" s="56" t="s">
        <v>100</v>
      </c>
      <c r="D739" s="56" t="s">
        <v>4</v>
      </c>
      <c r="E739" s="56">
        <v>27</v>
      </c>
      <c r="F739" s="57">
        <v>4500</v>
      </c>
      <c r="G739" s="58">
        <v>0.44400000000000001</v>
      </c>
      <c r="H739" s="59" t="s">
        <v>195</v>
      </c>
      <c r="I739" s="43">
        <f t="shared" si="22"/>
        <v>173800</v>
      </c>
      <c r="J739" s="49">
        <f t="shared" si="23"/>
        <v>171800</v>
      </c>
      <c r="K739" s="60">
        <v>160500</v>
      </c>
      <c r="L739" s="3"/>
    </row>
    <row r="740" spans="1:12" ht="12" customHeight="1">
      <c r="B740" s="48">
        <v>735</v>
      </c>
      <c r="C740" s="56" t="s">
        <v>215</v>
      </c>
      <c r="D740" s="56" t="s">
        <v>4</v>
      </c>
      <c r="E740" s="56">
        <v>45</v>
      </c>
      <c r="F740" s="57">
        <v>2835</v>
      </c>
      <c r="G740" s="58">
        <f>0.295-0.15</f>
        <v>0.14499999999999999</v>
      </c>
      <c r="H740" s="59" t="s">
        <v>195</v>
      </c>
      <c r="I740" s="43">
        <f t="shared" si="22"/>
        <v>173800</v>
      </c>
      <c r="J740" s="49">
        <f t="shared" si="23"/>
        <v>171800</v>
      </c>
      <c r="K740" s="60">
        <v>160500</v>
      </c>
      <c r="L740" s="5"/>
    </row>
    <row r="741" spans="1:12" customFormat="1" ht="12" customHeight="1">
      <c r="A741" s="4"/>
      <c r="B741" s="48">
        <v>736</v>
      </c>
      <c r="C741" s="56" t="s">
        <v>215</v>
      </c>
      <c r="D741" s="56" t="s">
        <v>4</v>
      </c>
      <c r="E741" s="56">
        <v>65</v>
      </c>
      <c r="F741" s="57">
        <v>3980</v>
      </c>
      <c r="G741" s="58">
        <v>1.2549999999999999</v>
      </c>
      <c r="H741" s="59" t="s">
        <v>195</v>
      </c>
      <c r="I741" s="43">
        <f t="shared" si="22"/>
        <v>173800</v>
      </c>
      <c r="J741" s="49">
        <f t="shared" si="23"/>
        <v>171800</v>
      </c>
      <c r="K741" s="60">
        <v>160500</v>
      </c>
    </row>
    <row r="742" spans="1:12" customFormat="1" ht="12" customHeight="1">
      <c r="A742" s="4"/>
      <c r="B742" s="48">
        <v>737</v>
      </c>
      <c r="C742" s="56" t="s">
        <v>301</v>
      </c>
      <c r="D742" s="56" t="s">
        <v>4</v>
      </c>
      <c r="E742" s="56">
        <v>400</v>
      </c>
      <c r="F742" s="57">
        <v>74</v>
      </c>
      <c r="G742" s="58">
        <v>7.4999999999999997E-2</v>
      </c>
      <c r="H742" s="59" t="s">
        <v>6</v>
      </c>
      <c r="I742" s="43" t="s">
        <v>269</v>
      </c>
      <c r="J742" s="49" t="e">
        <f t="shared" si="23"/>
        <v>#VALUE!</v>
      </c>
      <c r="K742" s="60" t="e">
        <v>#VALUE!</v>
      </c>
    </row>
    <row r="743" spans="1:12" ht="12" customHeight="1">
      <c r="B743" s="48">
        <v>738</v>
      </c>
      <c r="C743" s="56" t="s">
        <v>103</v>
      </c>
      <c r="D743" s="56" t="s">
        <v>4</v>
      </c>
      <c r="E743" s="56">
        <v>250</v>
      </c>
      <c r="F743" s="57">
        <v>160</v>
      </c>
      <c r="G743" s="58">
        <v>7.0000000000000007E-2</v>
      </c>
      <c r="H743" s="59" t="s">
        <v>6</v>
      </c>
      <c r="I743" s="43">
        <f t="shared" si="22"/>
        <v>115500</v>
      </c>
      <c r="J743" s="49">
        <f t="shared" si="23"/>
        <v>113500</v>
      </c>
      <c r="K743" s="60">
        <v>106000</v>
      </c>
      <c r="L743" s="3"/>
    </row>
    <row r="744" spans="1:12" ht="12" customHeight="1">
      <c r="B744" s="48">
        <v>739</v>
      </c>
      <c r="C744" s="56" t="s">
        <v>101</v>
      </c>
      <c r="D744" s="56" t="s">
        <v>4</v>
      </c>
      <c r="E744" s="56">
        <v>48</v>
      </c>
      <c r="F744" s="57">
        <v>3250</v>
      </c>
      <c r="G744" s="58">
        <f>2.43+1.71+1.96+3.23+2.295-3.2-0.048-0.048-0.051-0.051-0.05-0.205-0.048</f>
        <v>7.9239999999999995</v>
      </c>
      <c r="H744" s="59" t="s">
        <v>195</v>
      </c>
      <c r="I744" s="43">
        <f t="shared" si="22"/>
        <v>133800</v>
      </c>
      <c r="J744" s="49">
        <f t="shared" si="23"/>
        <v>131800</v>
      </c>
      <c r="K744" s="60">
        <v>123100</v>
      </c>
      <c r="L744" s="3"/>
    </row>
    <row r="745" spans="1:12" ht="12" customHeight="1">
      <c r="B745" s="48">
        <v>740</v>
      </c>
      <c r="C745" s="56" t="s">
        <v>101</v>
      </c>
      <c r="D745" s="56" t="s">
        <v>4</v>
      </c>
      <c r="E745" s="56">
        <v>160</v>
      </c>
      <c r="F745" s="57">
        <v>160</v>
      </c>
      <c r="G745" s="58">
        <v>2.5999999999999999E-2</v>
      </c>
      <c r="H745" s="59" t="s">
        <v>261</v>
      </c>
      <c r="I745" s="43">
        <f t="shared" si="22"/>
        <v>133800</v>
      </c>
      <c r="J745" s="49">
        <f t="shared" si="23"/>
        <v>131800</v>
      </c>
      <c r="K745" s="60">
        <v>123100</v>
      </c>
      <c r="L745" s="3"/>
    </row>
    <row r="746" spans="1:12" ht="12" customHeight="1">
      <c r="B746" s="48">
        <v>741</v>
      </c>
      <c r="C746" s="56" t="s">
        <v>102</v>
      </c>
      <c r="D746" s="56" t="s">
        <v>4</v>
      </c>
      <c r="E746" s="56">
        <v>55</v>
      </c>
      <c r="F746" s="57">
        <v>3025</v>
      </c>
      <c r="G746" s="58">
        <v>5.6000000000000001E-2</v>
      </c>
      <c r="H746" s="59" t="s">
        <v>195</v>
      </c>
      <c r="I746" s="43">
        <f t="shared" si="22"/>
        <v>133800</v>
      </c>
      <c r="J746" s="49">
        <f t="shared" si="23"/>
        <v>131800</v>
      </c>
      <c r="K746" s="60">
        <v>123100</v>
      </c>
      <c r="L746" s="3"/>
    </row>
    <row r="747" spans="1:12" ht="12" customHeight="1">
      <c r="B747" s="48">
        <v>742</v>
      </c>
      <c r="C747" s="56" t="s">
        <v>102</v>
      </c>
      <c r="D747" s="56" t="s">
        <v>4</v>
      </c>
      <c r="E747" s="56">
        <v>56</v>
      </c>
      <c r="F747" s="57">
        <v>3118</v>
      </c>
      <c r="G747" s="58">
        <v>0.121</v>
      </c>
      <c r="H747" s="59" t="s">
        <v>195</v>
      </c>
      <c r="I747" s="43">
        <f t="shared" si="22"/>
        <v>133800</v>
      </c>
      <c r="J747" s="49">
        <f t="shared" si="23"/>
        <v>131800</v>
      </c>
      <c r="K747" s="60">
        <v>123100</v>
      </c>
      <c r="L747" s="3"/>
    </row>
    <row r="748" spans="1:12" ht="12" customHeight="1">
      <c r="B748" s="48">
        <v>743</v>
      </c>
      <c r="C748" s="56" t="s">
        <v>102</v>
      </c>
      <c r="D748" s="56" t="s">
        <v>4</v>
      </c>
      <c r="E748" s="56">
        <v>80</v>
      </c>
      <c r="F748" s="57">
        <v>2490</v>
      </c>
      <c r="G748" s="58">
        <f>1.6-0.102-1.08-0.111</f>
        <v>0.30699999999999994</v>
      </c>
      <c r="H748" s="59" t="s">
        <v>195</v>
      </c>
      <c r="I748" s="43">
        <f t="shared" si="22"/>
        <v>133800</v>
      </c>
      <c r="J748" s="49">
        <f t="shared" si="23"/>
        <v>131800</v>
      </c>
      <c r="K748" s="60">
        <v>123100</v>
      </c>
      <c r="L748" s="3"/>
    </row>
    <row r="749" spans="1:12" s="5" customFormat="1" ht="12" customHeight="1">
      <c r="B749" s="48">
        <v>744</v>
      </c>
      <c r="C749" s="67" t="s">
        <v>102</v>
      </c>
      <c r="D749" s="67" t="s">
        <v>4</v>
      </c>
      <c r="E749" s="67">
        <v>100</v>
      </c>
      <c r="F749" s="68">
        <v>1565</v>
      </c>
      <c r="G749" s="70">
        <f>1.725-1.05-0.096-0.481</f>
        <v>9.8000000000000087E-2</v>
      </c>
      <c r="H749" s="69" t="s">
        <v>195</v>
      </c>
      <c r="I749" s="43">
        <f t="shared" si="22"/>
        <v>133800</v>
      </c>
      <c r="J749" s="49">
        <f t="shared" si="23"/>
        <v>131800</v>
      </c>
      <c r="K749" s="60">
        <v>123100</v>
      </c>
      <c r="L749" s="3"/>
    </row>
    <row r="750" spans="1:12" s="5" customFormat="1" ht="12" customHeight="1">
      <c r="B750" s="48">
        <v>745</v>
      </c>
      <c r="C750" s="56" t="s">
        <v>102</v>
      </c>
      <c r="D750" s="56" t="s">
        <v>4</v>
      </c>
      <c r="E750" s="56">
        <v>105</v>
      </c>
      <c r="F750" s="57">
        <v>2025</v>
      </c>
      <c r="G750" s="58">
        <v>0.13700000000000001</v>
      </c>
      <c r="H750" s="59" t="s">
        <v>195</v>
      </c>
      <c r="I750" s="43">
        <f t="shared" si="22"/>
        <v>133800</v>
      </c>
      <c r="J750" s="49">
        <f t="shared" si="23"/>
        <v>131800</v>
      </c>
      <c r="K750" s="60">
        <v>123100</v>
      </c>
      <c r="L750" s="3"/>
    </row>
    <row r="751" spans="1:12" s="5" customFormat="1" ht="12" customHeight="1">
      <c r="B751" s="48">
        <v>746</v>
      </c>
      <c r="C751" s="56" t="s">
        <v>102</v>
      </c>
      <c r="D751" s="56" t="s">
        <v>4</v>
      </c>
      <c r="E751" s="56">
        <v>145</v>
      </c>
      <c r="F751" s="57">
        <v>2715</v>
      </c>
      <c r="G751" s="58">
        <v>0.34699999999999998</v>
      </c>
      <c r="H751" s="59" t="s">
        <v>195</v>
      </c>
      <c r="I751" s="43">
        <f t="shared" si="22"/>
        <v>133800</v>
      </c>
      <c r="J751" s="49">
        <f t="shared" si="23"/>
        <v>131800</v>
      </c>
      <c r="K751" s="60">
        <v>123100</v>
      </c>
      <c r="L751" s="3"/>
    </row>
    <row r="752" spans="1:12" s="5" customFormat="1" ht="12" customHeight="1">
      <c r="B752" s="48">
        <v>747</v>
      </c>
      <c r="C752" s="56" t="s">
        <v>102</v>
      </c>
      <c r="D752" s="56" t="s">
        <v>4</v>
      </c>
      <c r="E752" s="56">
        <v>175</v>
      </c>
      <c r="F752" s="57">
        <v>1400</v>
      </c>
      <c r="G752" s="58">
        <v>0.28999999999999998</v>
      </c>
      <c r="H752" s="59" t="s">
        <v>6</v>
      </c>
      <c r="I752" s="43">
        <f t="shared" si="22"/>
        <v>133800</v>
      </c>
      <c r="J752" s="49">
        <f t="shared" si="23"/>
        <v>131800</v>
      </c>
      <c r="K752" s="60">
        <v>123100</v>
      </c>
      <c r="L752" s="3"/>
    </row>
    <row r="753" spans="1:12" customFormat="1" ht="12" customHeight="1">
      <c r="A753" s="4"/>
      <c r="B753" s="48">
        <v>748</v>
      </c>
      <c r="C753" s="56" t="s">
        <v>247</v>
      </c>
      <c r="D753" s="56" t="s">
        <v>4</v>
      </c>
      <c r="E753" s="56">
        <v>62</v>
      </c>
      <c r="F753" s="57">
        <v>3265</v>
      </c>
      <c r="G753" s="58">
        <v>7.6999999999999999E-2</v>
      </c>
      <c r="H753" s="59" t="s">
        <v>195</v>
      </c>
      <c r="I753" s="43">
        <f t="shared" si="22"/>
        <v>133800</v>
      </c>
      <c r="J753" s="49">
        <f t="shared" si="23"/>
        <v>131800</v>
      </c>
      <c r="K753" s="60">
        <v>123100</v>
      </c>
    </row>
    <row r="754" spans="1:12" customFormat="1" ht="12" customHeight="1">
      <c r="A754" s="4"/>
      <c r="B754" s="48">
        <v>749</v>
      </c>
      <c r="C754" s="56" t="s">
        <v>104</v>
      </c>
      <c r="D754" s="56" t="s">
        <v>4</v>
      </c>
      <c r="E754" s="56">
        <v>140</v>
      </c>
      <c r="F754" s="57">
        <v>3035</v>
      </c>
      <c r="G754" s="58">
        <v>0.37</v>
      </c>
      <c r="H754" s="59" t="s">
        <v>54</v>
      </c>
      <c r="I754" s="43">
        <f t="shared" si="22"/>
        <v>133800</v>
      </c>
      <c r="J754" s="49">
        <f t="shared" si="23"/>
        <v>131800</v>
      </c>
      <c r="K754" s="60">
        <v>123100</v>
      </c>
    </row>
    <row r="755" spans="1:12" customFormat="1" ht="12" customHeight="1">
      <c r="A755" s="4"/>
      <c r="B755" s="48">
        <v>750</v>
      </c>
      <c r="C755" s="56" t="s">
        <v>104</v>
      </c>
      <c r="D755" s="56" t="s">
        <v>4</v>
      </c>
      <c r="E755" s="56">
        <v>140</v>
      </c>
      <c r="F755" s="57">
        <v>3045</v>
      </c>
      <c r="G755" s="58">
        <v>0.37</v>
      </c>
      <c r="H755" s="59" t="s">
        <v>54</v>
      </c>
      <c r="I755" s="43">
        <f t="shared" si="22"/>
        <v>133800</v>
      </c>
      <c r="J755" s="49">
        <f t="shared" si="23"/>
        <v>131800</v>
      </c>
      <c r="K755" s="60">
        <v>123100</v>
      </c>
    </row>
    <row r="756" spans="1:12" s="5" customFormat="1" ht="12" customHeight="1">
      <c r="B756" s="48">
        <v>751</v>
      </c>
      <c r="C756" s="56" t="s">
        <v>105</v>
      </c>
      <c r="D756" s="56" t="s">
        <v>4</v>
      </c>
      <c r="E756" s="56">
        <v>30</v>
      </c>
      <c r="F756" s="57">
        <v>3600</v>
      </c>
      <c r="G756" s="58">
        <v>0.02</v>
      </c>
      <c r="H756" s="59" t="s">
        <v>195</v>
      </c>
      <c r="I756" s="43">
        <f t="shared" si="22"/>
        <v>133800</v>
      </c>
      <c r="J756" s="49">
        <f t="shared" si="23"/>
        <v>131800</v>
      </c>
      <c r="K756" s="60">
        <v>123100</v>
      </c>
      <c r="L756" s="3"/>
    </row>
    <row r="757" spans="1:12" ht="12" customHeight="1">
      <c r="B757" s="48">
        <v>752</v>
      </c>
      <c r="C757" s="56" t="s">
        <v>221</v>
      </c>
      <c r="D757" s="56" t="s">
        <v>4</v>
      </c>
      <c r="E757" s="56">
        <v>200</v>
      </c>
      <c r="F757" s="57">
        <v>2000</v>
      </c>
      <c r="G757" s="58">
        <v>0.53500000000000003</v>
      </c>
      <c r="H757" s="59" t="s">
        <v>6</v>
      </c>
      <c r="I757" s="43">
        <f t="shared" si="22"/>
        <v>124200</v>
      </c>
      <c r="J757" s="49">
        <f t="shared" si="23"/>
        <v>122200</v>
      </c>
      <c r="K757" s="60">
        <v>114200</v>
      </c>
      <c r="L757" s="3"/>
    </row>
    <row r="758" spans="1:12" customFormat="1" ht="12" customHeight="1">
      <c r="A758" s="4"/>
      <c r="B758" s="48">
        <v>753</v>
      </c>
      <c r="C758" s="56" t="s">
        <v>106</v>
      </c>
      <c r="D758" s="56" t="s">
        <v>4</v>
      </c>
      <c r="E758" s="56">
        <v>30</v>
      </c>
      <c r="F758" s="57">
        <v>2620</v>
      </c>
      <c r="G758" s="58">
        <v>1.4E-2</v>
      </c>
      <c r="H758" s="59" t="s">
        <v>195</v>
      </c>
      <c r="I758" s="43">
        <f t="shared" si="22"/>
        <v>109200</v>
      </c>
      <c r="J758" s="49">
        <f t="shared" si="23"/>
        <v>107200</v>
      </c>
      <c r="K758" s="60">
        <v>100100</v>
      </c>
    </row>
    <row r="759" spans="1:12" ht="12" customHeight="1">
      <c r="B759" s="48">
        <v>754</v>
      </c>
      <c r="C759" s="56" t="s">
        <v>106</v>
      </c>
      <c r="D759" s="56" t="s">
        <v>4</v>
      </c>
      <c r="E759" s="56">
        <v>90</v>
      </c>
      <c r="F759" s="57">
        <v>2600</v>
      </c>
      <c r="G759" s="58">
        <v>0.128</v>
      </c>
      <c r="H759" s="59" t="s">
        <v>195</v>
      </c>
      <c r="I759" s="43">
        <f t="shared" si="22"/>
        <v>121800</v>
      </c>
      <c r="J759" s="49">
        <f t="shared" si="23"/>
        <v>119800</v>
      </c>
      <c r="K759" s="60">
        <v>111900</v>
      </c>
      <c r="L759" s="3"/>
    </row>
    <row r="760" spans="1:12" s="11" customFormat="1" ht="12" customHeight="1">
      <c r="B760" s="48">
        <v>755</v>
      </c>
      <c r="C760" s="56" t="s">
        <v>107</v>
      </c>
      <c r="D760" s="56" t="s">
        <v>4</v>
      </c>
      <c r="E760" s="56">
        <v>170</v>
      </c>
      <c r="F760" s="57">
        <v>180</v>
      </c>
      <c r="G760" s="58">
        <v>3.3000000000000002E-2</v>
      </c>
      <c r="H760" s="59" t="s">
        <v>6</v>
      </c>
      <c r="I760" s="43">
        <f t="shared" si="22"/>
        <v>191000</v>
      </c>
      <c r="J760" s="49">
        <f t="shared" si="23"/>
        <v>189000</v>
      </c>
      <c r="K760" s="60">
        <v>176600</v>
      </c>
      <c r="L760" s="3"/>
    </row>
    <row r="761" spans="1:12" ht="12" customHeight="1">
      <c r="B761" s="48">
        <v>756</v>
      </c>
      <c r="C761" s="56" t="s">
        <v>107</v>
      </c>
      <c r="D761" s="56" t="s">
        <v>4</v>
      </c>
      <c r="E761" s="56">
        <v>170</v>
      </c>
      <c r="F761" s="57">
        <v>185</v>
      </c>
      <c r="G761" s="58">
        <v>3.4000000000000002E-2</v>
      </c>
      <c r="H761" s="59" t="s">
        <v>6</v>
      </c>
      <c r="I761" s="43">
        <f t="shared" si="22"/>
        <v>191000</v>
      </c>
      <c r="J761" s="49">
        <f t="shared" si="23"/>
        <v>189000</v>
      </c>
      <c r="K761" s="60">
        <v>176600</v>
      </c>
      <c r="L761" s="3"/>
    </row>
    <row r="762" spans="1:12" ht="12" customHeight="1">
      <c r="B762" s="48">
        <v>757</v>
      </c>
      <c r="C762" s="56" t="s">
        <v>107</v>
      </c>
      <c r="D762" s="56" t="s">
        <v>4</v>
      </c>
      <c r="E762" s="56">
        <v>170</v>
      </c>
      <c r="F762" s="57">
        <v>190</v>
      </c>
      <c r="G762" s="58">
        <v>3.4000000000000002E-2</v>
      </c>
      <c r="H762" s="59" t="s">
        <v>6</v>
      </c>
      <c r="I762" s="43">
        <f t="shared" si="22"/>
        <v>191000</v>
      </c>
      <c r="J762" s="49">
        <f t="shared" si="23"/>
        <v>189000</v>
      </c>
      <c r="K762" s="60">
        <v>176600</v>
      </c>
      <c r="L762" s="3"/>
    </row>
    <row r="763" spans="1:12" ht="12" customHeight="1">
      <c r="B763" s="48">
        <v>758</v>
      </c>
      <c r="C763" s="56" t="s">
        <v>108</v>
      </c>
      <c r="D763" s="56" t="s">
        <v>4</v>
      </c>
      <c r="E763" s="56">
        <v>75</v>
      </c>
      <c r="F763" s="57" t="s">
        <v>203</v>
      </c>
      <c r="G763" s="58">
        <f>3.07-0.9-0.38-0.404-0.404-0.202-0.202-0.202</f>
        <v>0.37600000000000006</v>
      </c>
      <c r="H763" s="59" t="s">
        <v>195</v>
      </c>
      <c r="I763" s="43">
        <f t="shared" si="22"/>
        <v>109200</v>
      </c>
      <c r="J763" s="49">
        <f t="shared" si="23"/>
        <v>107200</v>
      </c>
      <c r="K763" s="60">
        <v>100100</v>
      </c>
      <c r="L763" s="3"/>
    </row>
    <row r="764" spans="1:12" customFormat="1" ht="12" customHeight="1">
      <c r="A764" s="4"/>
      <c r="B764" s="48">
        <v>759</v>
      </c>
      <c r="C764" s="56" t="s">
        <v>108</v>
      </c>
      <c r="D764" s="56" t="s">
        <v>4</v>
      </c>
      <c r="E764" s="56">
        <v>160</v>
      </c>
      <c r="F764" s="57">
        <v>160</v>
      </c>
      <c r="G764" s="58">
        <v>2.5000000000000001E-2</v>
      </c>
      <c r="H764" s="59" t="s">
        <v>34</v>
      </c>
      <c r="I764" s="43">
        <f t="shared" si="22"/>
        <v>109200</v>
      </c>
      <c r="J764" s="49">
        <f t="shared" si="23"/>
        <v>107200</v>
      </c>
      <c r="K764" s="60">
        <v>100100</v>
      </c>
    </row>
    <row r="765" spans="1:12" ht="12" customHeight="1">
      <c r="B765" s="48">
        <v>760</v>
      </c>
      <c r="C765" s="56" t="s">
        <v>109</v>
      </c>
      <c r="D765" s="56" t="s">
        <v>4</v>
      </c>
      <c r="E765" s="56">
        <v>140</v>
      </c>
      <c r="F765" s="57">
        <v>3810</v>
      </c>
      <c r="G765" s="58">
        <v>0.46</v>
      </c>
      <c r="H765" s="59" t="s">
        <v>195</v>
      </c>
      <c r="I765" s="43">
        <f t="shared" si="22"/>
        <v>109200</v>
      </c>
      <c r="J765" s="49">
        <f t="shared" si="23"/>
        <v>107200</v>
      </c>
      <c r="K765" s="60">
        <v>100100</v>
      </c>
      <c r="L765" s="3"/>
    </row>
    <row r="766" spans="1:12" ht="12" customHeight="1">
      <c r="B766" s="48">
        <v>761</v>
      </c>
      <c r="C766" s="56" t="s">
        <v>111</v>
      </c>
      <c r="D766" s="56" t="s">
        <v>4</v>
      </c>
      <c r="E766" s="56">
        <v>50</v>
      </c>
      <c r="F766" s="57">
        <v>727</v>
      </c>
      <c r="G766" s="58">
        <v>4.8000000000000001E-2</v>
      </c>
      <c r="H766" s="59" t="s">
        <v>34</v>
      </c>
      <c r="I766" s="43">
        <f t="shared" si="22"/>
        <v>643200</v>
      </c>
      <c r="J766" s="49">
        <f t="shared" si="23"/>
        <v>641200</v>
      </c>
      <c r="K766" s="60">
        <v>599200</v>
      </c>
      <c r="L766" s="3"/>
    </row>
    <row r="767" spans="1:12" s="2" customFormat="1" ht="12" customHeight="1">
      <c r="B767" s="48">
        <v>762</v>
      </c>
      <c r="C767" s="56" t="s">
        <v>111</v>
      </c>
      <c r="D767" s="56" t="s">
        <v>4</v>
      </c>
      <c r="E767" s="56">
        <v>50</v>
      </c>
      <c r="F767" s="57">
        <v>3115</v>
      </c>
      <c r="G767" s="58">
        <v>4.7E-2</v>
      </c>
      <c r="H767" s="59" t="s">
        <v>195</v>
      </c>
      <c r="I767" s="43">
        <f t="shared" si="22"/>
        <v>643200</v>
      </c>
      <c r="J767" s="49">
        <f t="shared" si="23"/>
        <v>641200</v>
      </c>
      <c r="K767" s="60">
        <v>599200</v>
      </c>
      <c r="L767" s="3"/>
    </row>
    <row r="768" spans="1:12" ht="12" customHeight="1">
      <c r="B768" s="48">
        <v>763</v>
      </c>
      <c r="C768" s="56" t="s">
        <v>111</v>
      </c>
      <c r="D768" s="56" t="s">
        <v>4</v>
      </c>
      <c r="E768" s="56">
        <v>185</v>
      </c>
      <c r="F768" s="57">
        <v>275</v>
      </c>
      <c r="G768" s="58">
        <v>0.06</v>
      </c>
      <c r="H768" s="59" t="s">
        <v>205</v>
      </c>
      <c r="I768" s="43">
        <f t="shared" si="22"/>
        <v>643200</v>
      </c>
      <c r="J768" s="49">
        <f t="shared" si="23"/>
        <v>641200</v>
      </c>
      <c r="K768" s="60">
        <v>599200</v>
      </c>
      <c r="L768" s="2"/>
    </row>
    <row r="769" spans="2:12" ht="12" customHeight="1">
      <c r="B769" s="48">
        <v>764</v>
      </c>
      <c r="C769" s="56" t="s">
        <v>111</v>
      </c>
      <c r="D769" s="56" t="s">
        <v>4</v>
      </c>
      <c r="E769" s="56">
        <v>185</v>
      </c>
      <c r="F769" s="57">
        <v>359</v>
      </c>
      <c r="G769" s="58">
        <v>0.08</v>
      </c>
      <c r="H769" s="59" t="s">
        <v>205</v>
      </c>
      <c r="I769" s="43">
        <f t="shared" si="22"/>
        <v>643200</v>
      </c>
      <c r="J769" s="49">
        <f t="shared" si="23"/>
        <v>641200</v>
      </c>
      <c r="K769" s="60">
        <v>599200</v>
      </c>
      <c r="L769" s="3"/>
    </row>
    <row r="770" spans="2:12" ht="12" customHeight="1">
      <c r="B770" s="48">
        <v>765</v>
      </c>
      <c r="C770" s="56" t="s">
        <v>112</v>
      </c>
      <c r="D770" s="56" t="s">
        <v>4</v>
      </c>
      <c r="E770" s="56">
        <v>120</v>
      </c>
      <c r="F770" s="57">
        <v>1040</v>
      </c>
      <c r="G770" s="58">
        <v>9.5000000000000001E-2</v>
      </c>
      <c r="H770" s="59" t="s">
        <v>6</v>
      </c>
      <c r="I770" s="43">
        <f t="shared" si="22"/>
        <v>345500</v>
      </c>
      <c r="J770" s="49">
        <f t="shared" si="23"/>
        <v>343500</v>
      </c>
      <c r="K770" s="60">
        <v>321000</v>
      </c>
      <c r="L770" s="3"/>
    </row>
    <row r="771" spans="2:12" ht="12" customHeight="1">
      <c r="B771" s="48">
        <v>766</v>
      </c>
      <c r="C771" s="56" t="s">
        <v>112</v>
      </c>
      <c r="D771" s="56" t="s">
        <v>4</v>
      </c>
      <c r="E771" s="56">
        <v>160</v>
      </c>
      <c r="F771" s="57">
        <v>3000</v>
      </c>
      <c r="G771" s="58">
        <v>0.44500000000000001</v>
      </c>
      <c r="H771" s="59" t="s">
        <v>6</v>
      </c>
      <c r="I771" s="43">
        <f t="shared" si="22"/>
        <v>345500</v>
      </c>
      <c r="J771" s="49">
        <f t="shared" si="23"/>
        <v>343500</v>
      </c>
      <c r="K771" s="60">
        <v>321000</v>
      </c>
      <c r="L771" s="3"/>
    </row>
    <row r="772" spans="2:12" ht="12" customHeight="1">
      <c r="B772" s="48">
        <v>767</v>
      </c>
      <c r="C772" s="67" t="s">
        <v>113</v>
      </c>
      <c r="D772" s="80" t="s">
        <v>4</v>
      </c>
      <c r="E772" s="80">
        <v>50</v>
      </c>
      <c r="F772" s="68">
        <v>3900</v>
      </c>
      <c r="G772" s="81">
        <f>0.605-0.415-0.059</f>
        <v>0.13100000000000001</v>
      </c>
      <c r="H772" s="69" t="s">
        <v>195</v>
      </c>
      <c r="I772" s="43">
        <f t="shared" si="22"/>
        <v>354700</v>
      </c>
      <c r="J772" s="49">
        <f t="shared" si="23"/>
        <v>352700</v>
      </c>
      <c r="K772" s="82">
        <v>329600</v>
      </c>
      <c r="L772" s="3"/>
    </row>
    <row r="773" spans="2:12" ht="12" customHeight="1">
      <c r="B773" s="48">
        <v>768</v>
      </c>
      <c r="C773" s="56" t="s">
        <v>113</v>
      </c>
      <c r="D773" s="56" t="s">
        <v>4</v>
      </c>
      <c r="E773" s="56">
        <v>70</v>
      </c>
      <c r="F773" s="57">
        <v>4120</v>
      </c>
      <c r="G773" s="58">
        <v>1.57</v>
      </c>
      <c r="H773" s="59" t="s">
        <v>195</v>
      </c>
      <c r="I773" s="43">
        <f t="shared" si="22"/>
        <v>354700</v>
      </c>
      <c r="J773" s="49">
        <f t="shared" si="23"/>
        <v>352700</v>
      </c>
      <c r="K773" s="60">
        <v>329600</v>
      </c>
      <c r="L773" s="3"/>
    </row>
    <row r="774" spans="2:12" ht="12" customHeight="1">
      <c r="B774" s="48">
        <v>769</v>
      </c>
      <c r="C774" s="56" t="s">
        <v>113</v>
      </c>
      <c r="D774" s="56" t="s">
        <v>4</v>
      </c>
      <c r="E774" s="56">
        <v>190</v>
      </c>
      <c r="F774" s="57">
        <v>400</v>
      </c>
      <c r="G774" s="58">
        <f>0.105</f>
        <v>0.105</v>
      </c>
      <c r="H774" s="59" t="s">
        <v>6</v>
      </c>
      <c r="I774" s="43">
        <f t="shared" ref="I774:I837" si="24">J774+2000</f>
        <v>354700</v>
      </c>
      <c r="J774" s="49">
        <f t="shared" si="23"/>
        <v>352700</v>
      </c>
      <c r="K774" s="60">
        <v>329600</v>
      </c>
      <c r="L774" s="3"/>
    </row>
    <row r="775" spans="2:12" ht="12" customHeight="1">
      <c r="B775" s="48">
        <v>770</v>
      </c>
      <c r="C775" s="56" t="s">
        <v>114</v>
      </c>
      <c r="D775" s="56" t="s">
        <v>4</v>
      </c>
      <c r="E775" s="56">
        <v>42</v>
      </c>
      <c r="F775" s="57">
        <v>4040</v>
      </c>
      <c r="G775" s="58">
        <v>4.2999999999999997E-2</v>
      </c>
      <c r="H775" s="59" t="s">
        <v>204</v>
      </c>
      <c r="I775" s="43">
        <f t="shared" si="24"/>
        <v>77700</v>
      </c>
      <c r="J775" s="49">
        <f t="shared" ref="J775:J838" si="25">ROUNDUP(K775*1.07,-2)</f>
        <v>75700</v>
      </c>
      <c r="K775" s="60">
        <v>70700</v>
      </c>
      <c r="L775" s="3"/>
    </row>
    <row r="776" spans="2:12" ht="12" customHeight="1">
      <c r="B776" s="48">
        <v>771</v>
      </c>
      <c r="C776" s="56" t="s">
        <v>114</v>
      </c>
      <c r="D776" s="56" t="s">
        <v>4</v>
      </c>
      <c r="E776" s="56">
        <v>42</v>
      </c>
      <c r="F776" s="57" t="s">
        <v>115</v>
      </c>
      <c r="G776" s="58">
        <f>0.535-0.129</f>
        <v>0.40600000000000003</v>
      </c>
      <c r="H776" s="59" t="s">
        <v>195</v>
      </c>
      <c r="I776" s="43">
        <f t="shared" si="24"/>
        <v>77700</v>
      </c>
      <c r="J776" s="49">
        <f t="shared" si="25"/>
        <v>75700</v>
      </c>
      <c r="K776" s="60">
        <v>70700</v>
      </c>
      <c r="L776" s="3"/>
    </row>
    <row r="777" spans="2:12" ht="12" customHeight="1">
      <c r="B777" s="48">
        <v>772</v>
      </c>
      <c r="C777" s="56" t="s">
        <v>114</v>
      </c>
      <c r="D777" s="56" t="s">
        <v>4</v>
      </c>
      <c r="E777" s="56">
        <v>60</v>
      </c>
      <c r="F777" s="57">
        <v>2700</v>
      </c>
      <c r="G777" s="58">
        <v>5.8999999999999997E-2</v>
      </c>
      <c r="H777" s="59" t="s">
        <v>195</v>
      </c>
      <c r="I777" s="43">
        <f t="shared" si="24"/>
        <v>90200</v>
      </c>
      <c r="J777" s="49">
        <f t="shared" si="25"/>
        <v>88200</v>
      </c>
      <c r="K777" s="60">
        <v>82400</v>
      </c>
      <c r="L777" s="3"/>
    </row>
    <row r="778" spans="2:12" ht="12" customHeight="1">
      <c r="B778" s="48">
        <v>773</v>
      </c>
      <c r="C778" s="56" t="s">
        <v>114</v>
      </c>
      <c r="D778" s="56" t="s">
        <v>4</v>
      </c>
      <c r="E778" s="56">
        <v>190</v>
      </c>
      <c r="F778" s="57">
        <v>2260</v>
      </c>
      <c r="G778" s="58">
        <v>0.53</v>
      </c>
      <c r="H778" s="59" t="s">
        <v>6</v>
      </c>
      <c r="I778" s="43">
        <f t="shared" si="24"/>
        <v>88000</v>
      </c>
      <c r="J778" s="49">
        <f t="shared" si="25"/>
        <v>86000</v>
      </c>
      <c r="K778" s="60">
        <v>80300</v>
      </c>
      <c r="L778" s="3"/>
    </row>
    <row r="779" spans="2:12" ht="12" customHeight="1">
      <c r="B779" s="48">
        <v>774</v>
      </c>
      <c r="C779" s="56" t="s">
        <v>114</v>
      </c>
      <c r="D779" s="56" t="s">
        <v>4</v>
      </c>
      <c r="E779" s="56">
        <v>190</v>
      </c>
      <c r="F779" s="57">
        <v>2300</v>
      </c>
      <c r="G779" s="58">
        <v>0.58499999999999996</v>
      </c>
      <c r="H779" s="59" t="s">
        <v>6</v>
      </c>
      <c r="I779" s="43">
        <f t="shared" si="24"/>
        <v>88000</v>
      </c>
      <c r="J779" s="49">
        <f t="shared" si="25"/>
        <v>86000</v>
      </c>
      <c r="K779" s="60">
        <v>80300</v>
      </c>
      <c r="L779" s="3"/>
    </row>
    <row r="780" spans="2:12" ht="12" customHeight="1">
      <c r="B780" s="48">
        <v>775</v>
      </c>
      <c r="C780" s="56" t="s">
        <v>114</v>
      </c>
      <c r="D780" s="56" t="s">
        <v>4</v>
      </c>
      <c r="E780" s="56">
        <v>195</v>
      </c>
      <c r="F780" s="57">
        <v>1220</v>
      </c>
      <c r="G780" s="58">
        <v>0.28999999999999998</v>
      </c>
      <c r="H780" s="59" t="s">
        <v>6</v>
      </c>
      <c r="I780" s="43">
        <f t="shared" si="24"/>
        <v>88000</v>
      </c>
      <c r="J780" s="49">
        <f t="shared" si="25"/>
        <v>86000</v>
      </c>
      <c r="K780" s="60">
        <v>80300</v>
      </c>
      <c r="L780" s="3"/>
    </row>
    <row r="781" spans="2:12" ht="12" customHeight="1">
      <c r="B781" s="48">
        <v>776</v>
      </c>
      <c r="C781" s="56" t="s">
        <v>114</v>
      </c>
      <c r="D781" s="56" t="s">
        <v>4</v>
      </c>
      <c r="E781" s="56">
        <v>270</v>
      </c>
      <c r="F781" s="57">
        <v>1985</v>
      </c>
      <c r="G781" s="58">
        <v>0.89</v>
      </c>
      <c r="H781" s="59" t="s">
        <v>6</v>
      </c>
      <c r="I781" s="43">
        <f t="shared" si="24"/>
        <v>110900</v>
      </c>
      <c r="J781" s="49">
        <f t="shared" si="25"/>
        <v>108900</v>
      </c>
      <c r="K781" s="60">
        <v>101700</v>
      </c>
      <c r="L781" s="3"/>
    </row>
    <row r="782" spans="2:12" s="11" customFormat="1" ht="12" customHeight="1">
      <c r="B782" s="48">
        <v>777</v>
      </c>
      <c r="C782" s="56" t="s">
        <v>116</v>
      </c>
      <c r="D782" s="56" t="s">
        <v>4</v>
      </c>
      <c r="E782" s="56">
        <v>12</v>
      </c>
      <c r="F782" s="57">
        <v>2700</v>
      </c>
      <c r="G782" s="58">
        <f>0.05-0.002-0.002-0.005</f>
        <v>4.1000000000000002E-2</v>
      </c>
      <c r="H782" s="59" t="s">
        <v>195</v>
      </c>
      <c r="I782" s="43">
        <f t="shared" si="24"/>
        <v>78800</v>
      </c>
      <c r="J782" s="49">
        <f t="shared" si="25"/>
        <v>76800</v>
      </c>
      <c r="K782" s="60">
        <v>71700</v>
      </c>
      <c r="L782" s="3"/>
    </row>
    <row r="783" spans="2:12" ht="12" customHeight="1">
      <c r="B783" s="48">
        <v>778</v>
      </c>
      <c r="C783" s="56" t="s">
        <v>116</v>
      </c>
      <c r="D783" s="74" t="s">
        <v>4</v>
      </c>
      <c r="E783" s="74">
        <v>14</v>
      </c>
      <c r="F783" s="77">
        <v>4435</v>
      </c>
      <c r="G783" s="75">
        <f>0.195-0.005-0.1-0.021-0.005</f>
        <v>6.3999999999999987E-2</v>
      </c>
      <c r="H783" s="78" t="s">
        <v>195</v>
      </c>
      <c r="I783" s="43">
        <f t="shared" si="24"/>
        <v>78800</v>
      </c>
      <c r="J783" s="49">
        <f t="shared" si="25"/>
        <v>76800</v>
      </c>
      <c r="K783" s="60">
        <v>71700</v>
      </c>
      <c r="L783" s="3"/>
    </row>
    <row r="784" spans="2:12" ht="12" customHeight="1">
      <c r="B784" s="48">
        <v>779</v>
      </c>
      <c r="C784" s="56" t="s">
        <v>116</v>
      </c>
      <c r="D784" s="56" t="s">
        <v>4</v>
      </c>
      <c r="E784" s="56">
        <v>16</v>
      </c>
      <c r="F784" s="57">
        <v>3000</v>
      </c>
      <c r="G784" s="58">
        <f>0.15-0.004-0.004-0.004-0.009-0.009-0.026</f>
        <v>9.3999999999999986E-2</v>
      </c>
      <c r="H784" s="59" t="s">
        <v>218</v>
      </c>
      <c r="I784" s="43">
        <f t="shared" si="24"/>
        <v>78800</v>
      </c>
      <c r="J784" s="49">
        <f t="shared" si="25"/>
        <v>76800</v>
      </c>
      <c r="K784" s="60">
        <v>71700</v>
      </c>
      <c r="L784" s="3"/>
    </row>
    <row r="785" spans="1:12" ht="12" customHeight="1">
      <c r="B785" s="48">
        <v>780</v>
      </c>
      <c r="C785" s="56" t="s">
        <v>116</v>
      </c>
      <c r="D785" s="56" t="s">
        <v>4</v>
      </c>
      <c r="E785" s="56">
        <v>16</v>
      </c>
      <c r="F785" s="57">
        <v>3150</v>
      </c>
      <c r="G785" s="58">
        <v>0.16500000000000001</v>
      </c>
      <c r="H785" s="59" t="s">
        <v>218</v>
      </c>
      <c r="I785" s="43">
        <f t="shared" si="24"/>
        <v>78800</v>
      </c>
      <c r="J785" s="49">
        <f t="shared" si="25"/>
        <v>76800</v>
      </c>
      <c r="K785" s="60">
        <v>71700</v>
      </c>
      <c r="L785" s="5"/>
    </row>
    <row r="786" spans="1:12" ht="12" customHeight="1">
      <c r="B786" s="48">
        <v>781</v>
      </c>
      <c r="C786" s="56" t="s">
        <v>116</v>
      </c>
      <c r="D786" s="74" t="s">
        <v>4</v>
      </c>
      <c r="E786" s="74">
        <v>18</v>
      </c>
      <c r="F786" s="77">
        <v>2550</v>
      </c>
      <c r="G786" s="75">
        <f>0.69-0.017-0.008-0.022-0.05-0.05-0.05-0.016-0.1-0.052-0.008</f>
        <v>0.31699999999999978</v>
      </c>
      <c r="H786" s="78" t="s">
        <v>195</v>
      </c>
      <c r="I786" s="43">
        <f t="shared" si="24"/>
        <v>78800</v>
      </c>
      <c r="J786" s="49">
        <f t="shared" si="25"/>
        <v>76800</v>
      </c>
      <c r="K786" s="60">
        <v>71700</v>
      </c>
      <c r="L786" s="3"/>
    </row>
    <row r="787" spans="1:12" ht="12" customHeight="1">
      <c r="B787" s="48">
        <v>782</v>
      </c>
      <c r="C787" s="56" t="s">
        <v>116</v>
      </c>
      <c r="D787" s="56" t="s">
        <v>4</v>
      </c>
      <c r="E787" s="56">
        <v>18</v>
      </c>
      <c r="F787" s="57">
        <v>5400</v>
      </c>
      <c r="G787" s="58">
        <f>1.033-0.085-0.021</f>
        <v>0.92699999999999994</v>
      </c>
      <c r="H787" s="78" t="s">
        <v>195</v>
      </c>
      <c r="I787" s="43">
        <f t="shared" si="24"/>
        <v>78800</v>
      </c>
      <c r="J787" s="49">
        <f t="shared" si="25"/>
        <v>76800</v>
      </c>
      <c r="K787" s="60">
        <v>71700</v>
      </c>
      <c r="L787" s="3"/>
    </row>
    <row r="788" spans="1:12" ht="12" customHeight="1">
      <c r="B788" s="48">
        <v>783</v>
      </c>
      <c r="C788" s="56" t="s">
        <v>116</v>
      </c>
      <c r="D788" s="56" t="s">
        <v>4</v>
      </c>
      <c r="E788" s="56">
        <v>19</v>
      </c>
      <c r="F788" s="57">
        <v>3400</v>
      </c>
      <c r="G788" s="58">
        <v>3.4000000000000002E-2</v>
      </c>
      <c r="H788" s="78" t="s">
        <v>195</v>
      </c>
      <c r="I788" s="43">
        <f t="shared" si="24"/>
        <v>78800</v>
      </c>
      <c r="J788" s="49">
        <f t="shared" si="25"/>
        <v>76800</v>
      </c>
      <c r="K788" s="60">
        <v>71700</v>
      </c>
      <c r="L788" s="3"/>
    </row>
    <row r="789" spans="1:12" ht="12" customHeight="1">
      <c r="B789" s="48">
        <v>784</v>
      </c>
      <c r="C789" s="56" t="s">
        <v>116</v>
      </c>
      <c r="D789" s="56" t="s">
        <v>4</v>
      </c>
      <c r="E789" s="56">
        <v>22</v>
      </c>
      <c r="F789" s="57">
        <v>5000</v>
      </c>
      <c r="G789" s="58">
        <f>0.545-0.014</f>
        <v>0.53100000000000003</v>
      </c>
      <c r="H789" s="59" t="s">
        <v>195</v>
      </c>
      <c r="I789" s="43">
        <f t="shared" si="24"/>
        <v>78800</v>
      </c>
      <c r="J789" s="49">
        <f t="shared" si="25"/>
        <v>76800</v>
      </c>
      <c r="K789" s="60">
        <v>71700</v>
      </c>
      <c r="L789" s="3"/>
    </row>
    <row r="790" spans="1:12" s="5" customFormat="1" ht="12" customHeight="1">
      <c r="B790" s="48">
        <v>785</v>
      </c>
      <c r="C790" s="56" t="s">
        <v>116</v>
      </c>
      <c r="D790" s="56" t="s">
        <v>4</v>
      </c>
      <c r="E790" s="56">
        <v>22</v>
      </c>
      <c r="F790" s="57">
        <v>6040</v>
      </c>
      <c r="G790" s="58">
        <v>0.60599999999999998</v>
      </c>
      <c r="H790" s="59" t="s">
        <v>305</v>
      </c>
      <c r="I790" s="43">
        <f t="shared" si="24"/>
        <v>82200</v>
      </c>
      <c r="J790" s="49">
        <f t="shared" si="25"/>
        <v>80200</v>
      </c>
      <c r="K790" s="60">
        <v>74900</v>
      </c>
      <c r="L790" s="3"/>
    </row>
    <row r="791" spans="1:12" s="5" customFormat="1" ht="12" customHeight="1">
      <c r="B791" s="48">
        <v>786</v>
      </c>
      <c r="C791" s="56" t="s">
        <v>116</v>
      </c>
      <c r="D791" s="56" t="s">
        <v>4</v>
      </c>
      <c r="E791" s="56">
        <v>28</v>
      </c>
      <c r="F791" s="57">
        <v>4220</v>
      </c>
      <c r="G791" s="58">
        <f>0.04-0.02</f>
        <v>0.02</v>
      </c>
      <c r="H791" s="59" t="s">
        <v>195</v>
      </c>
      <c r="I791" s="43">
        <f t="shared" si="24"/>
        <v>78800</v>
      </c>
      <c r="J791" s="49">
        <f t="shared" si="25"/>
        <v>76800</v>
      </c>
      <c r="K791" s="60">
        <v>71700</v>
      </c>
      <c r="L791" s="3"/>
    </row>
    <row r="792" spans="1:12" s="5" customFormat="1" ht="12" customHeight="1">
      <c r="B792" s="48">
        <v>787</v>
      </c>
      <c r="C792" s="56" t="s">
        <v>116</v>
      </c>
      <c r="D792" s="56" t="s">
        <v>4</v>
      </c>
      <c r="E792" s="56">
        <v>38</v>
      </c>
      <c r="F792" s="57">
        <v>2530</v>
      </c>
      <c r="G792" s="58">
        <f>0.788-0.285-0.114-0.079</f>
        <v>0.31000000000000011</v>
      </c>
      <c r="H792" s="59" t="s">
        <v>195</v>
      </c>
      <c r="I792" s="43">
        <f t="shared" si="24"/>
        <v>65100</v>
      </c>
      <c r="J792" s="49">
        <f t="shared" si="25"/>
        <v>63100</v>
      </c>
      <c r="K792" s="60">
        <v>58900</v>
      </c>
      <c r="L792" s="3"/>
    </row>
    <row r="793" spans="1:12" customFormat="1" ht="12" customHeight="1">
      <c r="A793" s="4"/>
      <c r="B793" s="48">
        <v>788</v>
      </c>
      <c r="C793" s="56" t="s">
        <v>116</v>
      </c>
      <c r="D793" s="56" t="s">
        <v>4</v>
      </c>
      <c r="E793" s="56">
        <v>90</v>
      </c>
      <c r="F793" s="57">
        <v>4015</v>
      </c>
      <c r="G793" s="58">
        <f>0.3-0.099</f>
        <v>0.20099999999999998</v>
      </c>
      <c r="H793" s="59" t="s">
        <v>195</v>
      </c>
      <c r="I793" s="43">
        <f t="shared" si="24"/>
        <v>82200</v>
      </c>
      <c r="J793" s="49">
        <f t="shared" si="25"/>
        <v>80200</v>
      </c>
      <c r="K793" s="60">
        <v>74900</v>
      </c>
      <c r="L793" s="3"/>
    </row>
    <row r="794" spans="1:12" customFormat="1" ht="12" customHeight="1">
      <c r="A794" s="4"/>
      <c r="B794" s="48">
        <v>789</v>
      </c>
      <c r="C794" s="56" t="s">
        <v>116</v>
      </c>
      <c r="D794" s="56" t="s">
        <v>4</v>
      </c>
      <c r="E794" s="56">
        <v>95</v>
      </c>
      <c r="F794" s="57">
        <v>70</v>
      </c>
      <c r="G794" s="58">
        <v>3.0000000000000001E-3</v>
      </c>
      <c r="H794" s="59" t="s">
        <v>195</v>
      </c>
      <c r="I794" s="43">
        <f t="shared" si="24"/>
        <v>116500</v>
      </c>
      <c r="J794" s="49">
        <f t="shared" si="25"/>
        <v>114500</v>
      </c>
      <c r="K794" s="60">
        <v>107000</v>
      </c>
    </row>
    <row r="795" spans="1:12" customFormat="1" ht="12" customHeight="1">
      <c r="A795" s="4"/>
      <c r="B795" s="48">
        <v>790</v>
      </c>
      <c r="C795" s="56" t="s">
        <v>116</v>
      </c>
      <c r="D795" s="56" t="s">
        <v>4</v>
      </c>
      <c r="E795" s="56">
        <v>165</v>
      </c>
      <c r="F795" s="57">
        <v>910</v>
      </c>
      <c r="G795" s="58">
        <v>0.16</v>
      </c>
      <c r="H795" s="59" t="s">
        <v>195</v>
      </c>
      <c r="I795" s="43">
        <f t="shared" si="24"/>
        <v>88000</v>
      </c>
      <c r="J795" s="49">
        <f t="shared" si="25"/>
        <v>86000</v>
      </c>
      <c r="K795" s="60">
        <v>80300</v>
      </c>
    </row>
    <row r="796" spans="1:12" customFormat="1" ht="12" customHeight="1">
      <c r="A796" s="4"/>
      <c r="B796" s="48">
        <v>791</v>
      </c>
      <c r="C796" s="56" t="s">
        <v>116</v>
      </c>
      <c r="D796" s="56" t="s">
        <v>4</v>
      </c>
      <c r="E796" s="56">
        <v>240</v>
      </c>
      <c r="F796" s="57">
        <v>210</v>
      </c>
      <c r="G796" s="58">
        <f>2.225-0.085-0.08-0.234-0.165-0.075-0.08-0.16-0.085-0.34</f>
        <v>0.92100000000000004</v>
      </c>
      <c r="H796" s="59" t="s">
        <v>34</v>
      </c>
      <c r="I796" s="43">
        <f t="shared" si="24"/>
        <v>128000</v>
      </c>
      <c r="J796" s="49">
        <f t="shared" si="25"/>
        <v>126000</v>
      </c>
      <c r="K796" s="60">
        <v>117700</v>
      </c>
    </row>
    <row r="797" spans="1:12" customFormat="1" ht="12" customHeight="1">
      <c r="A797" s="4"/>
      <c r="B797" s="48">
        <v>792</v>
      </c>
      <c r="C797" s="56" t="s">
        <v>116</v>
      </c>
      <c r="D797" s="56" t="s">
        <v>4</v>
      </c>
      <c r="E797" s="56">
        <v>270</v>
      </c>
      <c r="F797" s="57">
        <v>940</v>
      </c>
      <c r="G797" s="58">
        <v>0.41799999999999998</v>
      </c>
      <c r="H797" s="59" t="s">
        <v>305</v>
      </c>
      <c r="I797" s="43">
        <f t="shared" si="24"/>
        <v>128000</v>
      </c>
      <c r="J797" s="49">
        <f t="shared" si="25"/>
        <v>126000</v>
      </c>
      <c r="K797" s="60">
        <v>117700</v>
      </c>
    </row>
    <row r="798" spans="1:12" customFormat="1" ht="12" customHeight="1">
      <c r="A798" s="4"/>
      <c r="B798" s="48">
        <v>793</v>
      </c>
      <c r="C798" s="56" t="s">
        <v>116</v>
      </c>
      <c r="D798" s="56" t="s">
        <v>4</v>
      </c>
      <c r="E798" s="56">
        <v>270</v>
      </c>
      <c r="F798" s="57">
        <v>980</v>
      </c>
      <c r="G798" s="58">
        <v>0.432</v>
      </c>
      <c r="H798" s="59" t="s">
        <v>305</v>
      </c>
      <c r="I798" s="43">
        <f t="shared" si="24"/>
        <v>128000</v>
      </c>
      <c r="J798" s="49">
        <f t="shared" si="25"/>
        <v>126000</v>
      </c>
      <c r="K798" s="60">
        <v>117700</v>
      </c>
    </row>
    <row r="799" spans="1:12" customFormat="1" ht="12" customHeight="1">
      <c r="A799" s="4"/>
      <c r="B799" s="48">
        <v>794</v>
      </c>
      <c r="C799" s="56" t="s">
        <v>116</v>
      </c>
      <c r="D799" s="56" t="s">
        <v>4</v>
      </c>
      <c r="E799" s="56">
        <v>270</v>
      </c>
      <c r="F799" s="57">
        <v>1119</v>
      </c>
      <c r="G799" s="58">
        <v>0.49399999999999999</v>
      </c>
      <c r="H799" s="59" t="s">
        <v>305</v>
      </c>
      <c r="I799" s="43">
        <f t="shared" si="24"/>
        <v>128000</v>
      </c>
      <c r="J799" s="49">
        <f t="shared" si="25"/>
        <v>126000</v>
      </c>
      <c r="K799" s="60">
        <v>117700</v>
      </c>
    </row>
    <row r="800" spans="1:12" customFormat="1" ht="12" customHeight="1">
      <c r="A800" s="4"/>
      <c r="B800" s="48">
        <v>795</v>
      </c>
      <c r="C800" s="56" t="s">
        <v>116</v>
      </c>
      <c r="D800" s="56" t="s">
        <v>4</v>
      </c>
      <c r="E800" s="56">
        <v>270</v>
      </c>
      <c r="F800" s="57">
        <v>1122</v>
      </c>
      <c r="G800" s="58">
        <v>0.49399999999999999</v>
      </c>
      <c r="H800" s="59" t="s">
        <v>305</v>
      </c>
      <c r="I800" s="43">
        <f t="shared" si="24"/>
        <v>128000</v>
      </c>
      <c r="J800" s="49">
        <f t="shared" si="25"/>
        <v>126000</v>
      </c>
      <c r="K800" s="60">
        <v>117700</v>
      </c>
    </row>
    <row r="801" spans="1:12" customFormat="1" ht="12" customHeight="1">
      <c r="A801" s="4"/>
      <c r="B801" s="48">
        <v>796</v>
      </c>
      <c r="C801" s="56" t="s">
        <v>116</v>
      </c>
      <c r="D801" s="56" t="s">
        <v>4</v>
      </c>
      <c r="E801" s="56">
        <v>270</v>
      </c>
      <c r="F801" s="57">
        <v>1480</v>
      </c>
      <c r="G801" s="58">
        <v>0.66100000000000003</v>
      </c>
      <c r="H801" s="59" t="s">
        <v>195</v>
      </c>
      <c r="I801" s="43">
        <f t="shared" si="24"/>
        <v>128000</v>
      </c>
      <c r="J801" s="49">
        <f t="shared" si="25"/>
        <v>126000</v>
      </c>
      <c r="K801" s="60">
        <v>117700</v>
      </c>
    </row>
    <row r="802" spans="1:12" customFormat="1" ht="12" customHeight="1">
      <c r="A802" s="4"/>
      <c r="B802" s="48">
        <v>797</v>
      </c>
      <c r="C802" s="56" t="s">
        <v>116</v>
      </c>
      <c r="D802" s="56" t="s">
        <v>4</v>
      </c>
      <c r="E802" s="56">
        <v>270</v>
      </c>
      <c r="F802" s="57">
        <v>1610</v>
      </c>
      <c r="G802" s="58">
        <v>0.70799999999999996</v>
      </c>
      <c r="H802" s="59" t="s">
        <v>195</v>
      </c>
      <c r="I802" s="43">
        <f t="shared" si="24"/>
        <v>128000</v>
      </c>
      <c r="J802" s="49">
        <f t="shared" si="25"/>
        <v>126000</v>
      </c>
      <c r="K802" s="60">
        <v>117700</v>
      </c>
    </row>
    <row r="803" spans="1:12" customFormat="1" ht="12" customHeight="1">
      <c r="A803" s="4"/>
      <c r="B803" s="48">
        <v>798</v>
      </c>
      <c r="C803" s="56" t="s">
        <v>116</v>
      </c>
      <c r="D803" s="56" t="s">
        <v>4</v>
      </c>
      <c r="E803" s="56">
        <v>270</v>
      </c>
      <c r="F803" s="57">
        <v>1645</v>
      </c>
      <c r="G803" s="58">
        <v>0.72399999999999998</v>
      </c>
      <c r="H803" s="59" t="s">
        <v>195</v>
      </c>
      <c r="I803" s="43">
        <f t="shared" si="24"/>
        <v>128000</v>
      </c>
      <c r="J803" s="49">
        <f t="shared" si="25"/>
        <v>126000</v>
      </c>
      <c r="K803" s="60">
        <v>117700</v>
      </c>
    </row>
    <row r="804" spans="1:12" s="5" customFormat="1" ht="12" customHeight="1">
      <c r="B804" s="48">
        <v>799</v>
      </c>
      <c r="C804" s="56" t="s">
        <v>116</v>
      </c>
      <c r="D804" s="56" t="s">
        <v>4</v>
      </c>
      <c r="E804" s="56">
        <v>280</v>
      </c>
      <c r="F804" s="57">
        <v>720</v>
      </c>
      <c r="G804" s="58">
        <f>0.497-0.147-0.003</f>
        <v>0.34699999999999998</v>
      </c>
      <c r="H804" s="59" t="s">
        <v>195</v>
      </c>
      <c r="I804" s="43">
        <f t="shared" si="24"/>
        <v>128000</v>
      </c>
      <c r="J804" s="49">
        <f t="shared" si="25"/>
        <v>126000</v>
      </c>
      <c r="K804" s="60">
        <v>117700</v>
      </c>
      <c r="L804"/>
    </row>
    <row r="805" spans="1:12" ht="12" customHeight="1">
      <c r="B805" s="48">
        <v>800</v>
      </c>
      <c r="C805" s="56" t="s">
        <v>116</v>
      </c>
      <c r="D805" s="56" t="s">
        <v>4</v>
      </c>
      <c r="E805" s="56">
        <v>280</v>
      </c>
      <c r="F805" s="57">
        <v>1125</v>
      </c>
      <c r="G805" s="58">
        <v>0.52500000000000002</v>
      </c>
      <c r="H805" s="59" t="s">
        <v>195</v>
      </c>
      <c r="I805" s="43">
        <f t="shared" si="24"/>
        <v>128000</v>
      </c>
      <c r="J805" s="49">
        <f t="shared" si="25"/>
        <v>126000</v>
      </c>
      <c r="K805" s="60">
        <v>117700</v>
      </c>
      <c r="L805" s="3"/>
    </row>
    <row r="806" spans="1:12" ht="12" customHeight="1">
      <c r="B806" s="48">
        <v>801</v>
      </c>
      <c r="C806" s="56" t="s">
        <v>116</v>
      </c>
      <c r="D806" s="56" t="s">
        <v>4</v>
      </c>
      <c r="E806" s="56">
        <v>280</v>
      </c>
      <c r="F806" s="57">
        <v>1145</v>
      </c>
      <c r="G806" s="58">
        <v>0.68400000000000005</v>
      </c>
      <c r="H806" s="59" t="s">
        <v>195</v>
      </c>
      <c r="I806" s="43">
        <f t="shared" si="24"/>
        <v>128000</v>
      </c>
      <c r="J806" s="49">
        <f t="shared" si="25"/>
        <v>126000</v>
      </c>
      <c r="K806" s="60">
        <v>117700</v>
      </c>
      <c r="L806" s="5"/>
    </row>
    <row r="807" spans="1:12" ht="12" customHeight="1">
      <c r="B807" s="48">
        <v>802</v>
      </c>
      <c r="C807" s="56" t="s">
        <v>116</v>
      </c>
      <c r="D807" s="56" t="s">
        <v>4</v>
      </c>
      <c r="E807" s="56">
        <v>280</v>
      </c>
      <c r="F807" s="57">
        <v>1425</v>
      </c>
      <c r="G807" s="58">
        <v>0.67500000000000004</v>
      </c>
      <c r="H807" s="59" t="s">
        <v>195</v>
      </c>
      <c r="I807" s="43">
        <f t="shared" si="24"/>
        <v>128000</v>
      </c>
      <c r="J807" s="49">
        <f t="shared" si="25"/>
        <v>126000</v>
      </c>
      <c r="K807" s="60">
        <v>117700</v>
      </c>
      <c r="L807" s="3"/>
    </row>
    <row r="808" spans="1:12" ht="12" customHeight="1">
      <c r="B808" s="48">
        <v>803</v>
      </c>
      <c r="C808" s="56" t="s">
        <v>116</v>
      </c>
      <c r="D808" s="56" t="s">
        <v>4</v>
      </c>
      <c r="E808" s="56">
        <v>280</v>
      </c>
      <c r="F808" s="57">
        <v>1440</v>
      </c>
      <c r="G808" s="58">
        <v>0.68200000000000005</v>
      </c>
      <c r="H808" s="59" t="s">
        <v>195</v>
      </c>
      <c r="I808" s="43">
        <f t="shared" si="24"/>
        <v>128000</v>
      </c>
      <c r="J808" s="49">
        <f t="shared" si="25"/>
        <v>126000</v>
      </c>
      <c r="K808" s="60">
        <v>117700</v>
      </c>
      <c r="L808" s="3"/>
    </row>
    <row r="809" spans="1:12" ht="12" customHeight="1">
      <c r="B809" s="48">
        <v>804</v>
      </c>
      <c r="C809" s="56" t="s">
        <v>116</v>
      </c>
      <c r="D809" s="56" t="s">
        <v>4</v>
      </c>
      <c r="E809" s="56">
        <v>280</v>
      </c>
      <c r="F809" s="57">
        <v>1445</v>
      </c>
      <c r="G809" s="58">
        <v>0.67900000000000005</v>
      </c>
      <c r="H809" s="59" t="s">
        <v>195</v>
      </c>
      <c r="I809" s="43">
        <f t="shared" si="24"/>
        <v>128000</v>
      </c>
      <c r="J809" s="49">
        <f t="shared" si="25"/>
        <v>126000</v>
      </c>
      <c r="K809" s="60">
        <v>117700</v>
      </c>
      <c r="L809" s="3"/>
    </row>
    <row r="810" spans="1:12" ht="12" customHeight="1">
      <c r="B810" s="48">
        <v>805</v>
      </c>
      <c r="C810" s="56" t="s">
        <v>116</v>
      </c>
      <c r="D810" s="56" t="s">
        <v>4</v>
      </c>
      <c r="E810" s="56">
        <v>280</v>
      </c>
      <c r="F810" s="57">
        <v>1445</v>
      </c>
      <c r="G810" s="58">
        <v>0.68400000000000005</v>
      </c>
      <c r="H810" s="59" t="s">
        <v>195</v>
      </c>
      <c r="I810" s="43">
        <f t="shared" si="24"/>
        <v>128000</v>
      </c>
      <c r="J810" s="49">
        <f t="shared" si="25"/>
        <v>126000</v>
      </c>
      <c r="K810" s="60">
        <v>117700</v>
      </c>
      <c r="L810" s="3"/>
    </row>
    <row r="811" spans="1:12" ht="12" customHeight="1">
      <c r="B811" s="48">
        <v>806</v>
      </c>
      <c r="C811" s="56" t="s">
        <v>116</v>
      </c>
      <c r="D811" s="56" t="s">
        <v>4</v>
      </c>
      <c r="E811" s="56">
        <v>280</v>
      </c>
      <c r="F811" s="57">
        <v>1450</v>
      </c>
      <c r="G811" s="58">
        <v>0.68600000000000005</v>
      </c>
      <c r="H811" s="59" t="s">
        <v>195</v>
      </c>
      <c r="I811" s="43">
        <f t="shared" si="24"/>
        <v>128000</v>
      </c>
      <c r="J811" s="49">
        <f t="shared" si="25"/>
        <v>126000</v>
      </c>
      <c r="K811" s="60">
        <v>117700</v>
      </c>
      <c r="L811" s="3"/>
    </row>
    <row r="812" spans="1:12" ht="12" customHeight="1">
      <c r="B812" s="48">
        <v>807</v>
      </c>
      <c r="C812" s="56" t="s">
        <v>116</v>
      </c>
      <c r="D812" s="56" t="s">
        <v>4</v>
      </c>
      <c r="E812" s="56">
        <v>280</v>
      </c>
      <c r="F812" s="57">
        <v>1485</v>
      </c>
      <c r="G812" s="58">
        <v>0.70299999999999996</v>
      </c>
      <c r="H812" s="59" t="s">
        <v>195</v>
      </c>
      <c r="I812" s="43">
        <f t="shared" si="24"/>
        <v>128000</v>
      </c>
      <c r="J812" s="49">
        <f t="shared" si="25"/>
        <v>126000</v>
      </c>
      <c r="K812" s="60">
        <v>117700</v>
      </c>
      <c r="L812" s="3"/>
    </row>
    <row r="813" spans="1:12" ht="12" customHeight="1">
      <c r="B813" s="48">
        <v>808</v>
      </c>
      <c r="C813" s="56" t="s">
        <v>116</v>
      </c>
      <c r="D813" s="56" t="s">
        <v>4</v>
      </c>
      <c r="E813" s="56">
        <v>280</v>
      </c>
      <c r="F813" s="57">
        <v>1510</v>
      </c>
      <c r="G813" s="58">
        <v>0.71499999999999997</v>
      </c>
      <c r="H813" s="59" t="s">
        <v>195</v>
      </c>
      <c r="I813" s="43">
        <f t="shared" si="24"/>
        <v>128000</v>
      </c>
      <c r="J813" s="49">
        <f t="shared" si="25"/>
        <v>126000</v>
      </c>
      <c r="K813" s="60">
        <v>117700</v>
      </c>
      <c r="L813" s="3"/>
    </row>
    <row r="814" spans="1:12" ht="12" customHeight="1">
      <c r="B814" s="48">
        <v>809</v>
      </c>
      <c r="C814" s="56" t="s">
        <v>116</v>
      </c>
      <c r="D814" s="56" t="s">
        <v>4</v>
      </c>
      <c r="E814" s="56">
        <v>280</v>
      </c>
      <c r="F814" s="57">
        <v>1533</v>
      </c>
      <c r="G814" s="58">
        <v>0.73099999999999998</v>
      </c>
      <c r="H814" s="59" t="s">
        <v>195</v>
      </c>
      <c r="I814" s="43">
        <f t="shared" si="24"/>
        <v>128000</v>
      </c>
      <c r="J814" s="49">
        <f t="shared" si="25"/>
        <v>126000</v>
      </c>
      <c r="K814" s="60">
        <v>117700</v>
      </c>
      <c r="L814" s="3"/>
    </row>
    <row r="815" spans="1:12" ht="12" customHeight="1">
      <c r="B815" s="48">
        <v>810</v>
      </c>
      <c r="C815" s="56" t="s">
        <v>116</v>
      </c>
      <c r="D815" s="56" t="s">
        <v>4</v>
      </c>
      <c r="E815" s="56">
        <v>280</v>
      </c>
      <c r="F815" s="57">
        <v>1545</v>
      </c>
      <c r="G815" s="58">
        <v>0.71599999999999997</v>
      </c>
      <c r="H815" s="59" t="s">
        <v>195</v>
      </c>
      <c r="I815" s="43">
        <f t="shared" si="24"/>
        <v>128000</v>
      </c>
      <c r="J815" s="49">
        <f t="shared" si="25"/>
        <v>126000</v>
      </c>
      <c r="K815" s="60">
        <v>117700</v>
      </c>
      <c r="L815" s="3"/>
    </row>
    <row r="816" spans="1:12" ht="12" customHeight="1">
      <c r="B816" s="48">
        <v>811</v>
      </c>
      <c r="C816" s="56" t="s">
        <v>116</v>
      </c>
      <c r="D816" s="56" t="s">
        <v>4</v>
      </c>
      <c r="E816" s="56">
        <v>280</v>
      </c>
      <c r="F816" s="57">
        <v>1560</v>
      </c>
      <c r="G816" s="58">
        <v>0.73899999999999999</v>
      </c>
      <c r="H816" s="59" t="s">
        <v>195</v>
      </c>
      <c r="I816" s="43">
        <f t="shared" si="24"/>
        <v>128000</v>
      </c>
      <c r="J816" s="49">
        <f t="shared" si="25"/>
        <v>126000</v>
      </c>
      <c r="K816" s="60">
        <v>117700</v>
      </c>
      <c r="L816" s="3"/>
    </row>
    <row r="817" spans="2:12" ht="12" customHeight="1">
      <c r="B817" s="48">
        <v>812</v>
      </c>
      <c r="C817" s="56" t="s">
        <v>116</v>
      </c>
      <c r="D817" s="56" t="s">
        <v>4</v>
      </c>
      <c r="E817" s="56">
        <v>280</v>
      </c>
      <c r="F817" s="57">
        <v>1575</v>
      </c>
      <c r="G817" s="58">
        <v>0.74</v>
      </c>
      <c r="H817" s="59" t="s">
        <v>195</v>
      </c>
      <c r="I817" s="43">
        <f t="shared" si="24"/>
        <v>128000</v>
      </c>
      <c r="J817" s="49">
        <f t="shared" si="25"/>
        <v>126000</v>
      </c>
      <c r="K817" s="60">
        <v>117700</v>
      </c>
      <c r="L817" s="3"/>
    </row>
    <row r="818" spans="2:12" ht="12" customHeight="1">
      <c r="B818" s="48">
        <v>813</v>
      </c>
      <c r="C818" s="56" t="s">
        <v>116</v>
      </c>
      <c r="D818" s="56" t="s">
        <v>4</v>
      </c>
      <c r="E818" s="56">
        <v>280</v>
      </c>
      <c r="F818" s="57">
        <v>1630</v>
      </c>
      <c r="G818" s="58">
        <v>0.78300000000000003</v>
      </c>
      <c r="H818" s="59" t="s">
        <v>195</v>
      </c>
      <c r="I818" s="43">
        <f t="shared" si="24"/>
        <v>128000</v>
      </c>
      <c r="J818" s="49">
        <f t="shared" si="25"/>
        <v>126000</v>
      </c>
      <c r="K818" s="60">
        <v>117700</v>
      </c>
      <c r="L818" s="3"/>
    </row>
    <row r="819" spans="2:12" s="11" customFormat="1" ht="12" customHeight="1">
      <c r="B819" s="48">
        <v>814</v>
      </c>
      <c r="C819" s="56" t="s">
        <v>116</v>
      </c>
      <c r="D819" s="56" t="s">
        <v>4</v>
      </c>
      <c r="E819" s="56">
        <v>295</v>
      </c>
      <c r="F819" s="57">
        <v>2400</v>
      </c>
      <c r="G819" s="58">
        <v>1.42</v>
      </c>
      <c r="H819" s="59" t="s">
        <v>6</v>
      </c>
      <c r="I819" s="43">
        <f t="shared" si="24"/>
        <v>128000</v>
      </c>
      <c r="J819" s="49">
        <f t="shared" si="25"/>
        <v>126000</v>
      </c>
      <c r="K819" s="60">
        <v>117700</v>
      </c>
      <c r="L819" s="3"/>
    </row>
    <row r="820" spans="2:12" s="11" customFormat="1" ht="12" customHeight="1">
      <c r="B820" s="48">
        <v>815</v>
      </c>
      <c r="C820" s="56" t="s">
        <v>116</v>
      </c>
      <c r="D820" s="56" t="s">
        <v>4</v>
      </c>
      <c r="E820" s="56">
        <v>620</v>
      </c>
      <c r="F820" s="57">
        <v>85</v>
      </c>
      <c r="G820" s="58">
        <v>0.215</v>
      </c>
      <c r="H820" s="59" t="s">
        <v>34</v>
      </c>
      <c r="I820" s="43">
        <f t="shared" si="24"/>
        <v>162300</v>
      </c>
      <c r="J820" s="49">
        <f t="shared" si="25"/>
        <v>160300</v>
      </c>
      <c r="K820" s="60">
        <v>149800</v>
      </c>
      <c r="L820" s="3"/>
    </row>
    <row r="821" spans="2:12" ht="12" customHeight="1">
      <c r="B821" s="48">
        <v>816</v>
      </c>
      <c r="C821" s="56" t="s">
        <v>116</v>
      </c>
      <c r="D821" s="56" t="s">
        <v>4</v>
      </c>
      <c r="E821" s="56">
        <v>620</v>
      </c>
      <c r="F821" s="57">
        <v>100</v>
      </c>
      <c r="G821" s="58">
        <v>0.255</v>
      </c>
      <c r="H821" s="59" t="s">
        <v>6</v>
      </c>
      <c r="I821" s="43">
        <f t="shared" si="24"/>
        <v>162300</v>
      </c>
      <c r="J821" s="49">
        <f t="shared" si="25"/>
        <v>160300</v>
      </c>
      <c r="K821" s="60">
        <v>149800</v>
      </c>
      <c r="L821" s="3"/>
    </row>
    <row r="822" spans="2:12" ht="12" customHeight="1">
      <c r="B822" s="48">
        <v>817</v>
      </c>
      <c r="C822" s="56" t="s">
        <v>116</v>
      </c>
      <c r="D822" s="56" t="s">
        <v>4</v>
      </c>
      <c r="E822" s="56">
        <v>620</v>
      </c>
      <c r="F822" s="57">
        <v>115</v>
      </c>
      <c r="G822" s="58">
        <v>0.31</v>
      </c>
      <c r="H822" s="59" t="s">
        <v>6</v>
      </c>
      <c r="I822" s="43">
        <f t="shared" si="24"/>
        <v>162300</v>
      </c>
      <c r="J822" s="49">
        <f t="shared" si="25"/>
        <v>160300</v>
      </c>
      <c r="K822" s="60">
        <v>149800</v>
      </c>
      <c r="L822" s="3"/>
    </row>
    <row r="823" spans="2:12" ht="12" customHeight="1">
      <c r="B823" s="48">
        <v>818</v>
      </c>
      <c r="C823" s="56" t="s">
        <v>116</v>
      </c>
      <c r="D823" s="56" t="s">
        <v>4</v>
      </c>
      <c r="E823" s="56">
        <v>625</v>
      </c>
      <c r="F823" s="57">
        <v>110</v>
      </c>
      <c r="G823" s="58">
        <v>0.255</v>
      </c>
      <c r="H823" s="59" t="s">
        <v>6</v>
      </c>
      <c r="I823" s="43">
        <f t="shared" si="24"/>
        <v>162300</v>
      </c>
      <c r="J823" s="49">
        <f t="shared" si="25"/>
        <v>160300</v>
      </c>
      <c r="K823" s="60">
        <v>149800</v>
      </c>
      <c r="L823" s="3"/>
    </row>
    <row r="824" spans="2:12" ht="12" customHeight="1">
      <c r="B824" s="48">
        <v>819</v>
      </c>
      <c r="C824" s="56" t="s">
        <v>116</v>
      </c>
      <c r="D824" s="56" t="s">
        <v>4</v>
      </c>
      <c r="E824" s="56">
        <v>630</v>
      </c>
      <c r="F824" s="57">
        <v>90</v>
      </c>
      <c r="G824" s="58">
        <v>0.22500000000000001</v>
      </c>
      <c r="H824" s="59" t="s">
        <v>6</v>
      </c>
      <c r="I824" s="43">
        <f t="shared" si="24"/>
        <v>162300</v>
      </c>
      <c r="J824" s="49">
        <f t="shared" si="25"/>
        <v>160300</v>
      </c>
      <c r="K824" s="60">
        <v>149800</v>
      </c>
      <c r="L824" s="5"/>
    </row>
    <row r="825" spans="2:12" ht="12" customHeight="1">
      <c r="B825" s="48">
        <v>820</v>
      </c>
      <c r="C825" s="56" t="s">
        <v>116</v>
      </c>
      <c r="D825" s="56" t="s">
        <v>4</v>
      </c>
      <c r="E825" s="56">
        <v>630</v>
      </c>
      <c r="F825" s="57">
        <v>100</v>
      </c>
      <c r="G825" s="58">
        <v>0.26500000000000001</v>
      </c>
      <c r="H825" s="59" t="s">
        <v>34</v>
      </c>
      <c r="I825" s="43">
        <f t="shared" si="24"/>
        <v>162300</v>
      </c>
      <c r="J825" s="49">
        <f t="shared" si="25"/>
        <v>160300</v>
      </c>
      <c r="K825" s="60">
        <v>149800</v>
      </c>
      <c r="L825" s="3"/>
    </row>
    <row r="826" spans="2:12" ht="12" customHeight="1">
      <c r="B826" s="48">
        <v>821</v>
      </c>
      <c r="C826" s="56" t="s">
        <v>116</v>
      </c>
      <c r="D826" s="56" t="s">
        <v>4</v>
      </c>
      <c r="E826" s="56">
        <v>630</v>
      </c>
      <c r="F826" s="57">
        <v>100</v>
      </c>
      <c r="G826" s="58">
        <v>0.255</v>
      </c>
      <c r="H826" s="59" t="s">
        <v>6</v>
      </c>
      <c r="I826" s="43">
        <f t="shared" si="24"/>
        <v>162300</v>
      </c>
      <c r="J826" s="49">
        <f t="shared" si="25"/>
        <v>160300</v>
      </c>
      <c r="K826" s="60">
        <v>149800</v>
      </c>
      <c r="L826" s="3"/>
    </row>
    <row r="827" spans="2:12" ht="12" customHeight="1">
      <c r="B827" s="48">
        <v>822</v>
      </c>
      <c r="C827" s="56" t="s">
        <v>116</v>
      </c>
      <c r="D827" s="56" t="s">
        <v>4</v>
      </c>
      <c r="E827" s="56">
        <v>630</v>
      </c>
      <c r="F827" s="57">
        <v>110</v>
      </c>
      <c r="G827" s="58">
        <v>0.26500000000000001</v>
      </c>
      <c r="H827" s="59" t="s">
        <v>6</v>
      </c>
      <c r="I827" s="43">
        <f t="shared" si="24"/>
        <v>162300</v>
      </c>
      <c r="J827" s="49">
        <f t="shared" si="25"/>
        <v>160300</v>
      </c>
      <c r="K827" s="60">
        <v>149800</v>
      </c>
      <c r="L827" s="3"/>
    </row>
    <row r="828" spans="2:12" ht="12" customHeight="1">
      <c r="B828" s="48">
        <v>823</v>
      </c>
      <c r="C828" s="56" t="s">
        <v>116</v>
      </c>
      <c r="D828" s="56" t="s">
        <v>4</v>
      </c>
      <c r="E828" s="56">
        <v>635</v>
      </c>
      <c r="F828" s="57">
        <v>115</v>
      </c>
      <c r="G828" s="58">
        <v>0.26200000000000001</v>
      </c>
      <c r="H828" s="59" t="s">
        <v>6</v>
      </c>
      <c r="I828" s="43">
        <f t="shared" si="24"/>
        <v>162300</v>
      </c>
      <c r="J828" s="49">
        <f t="shared" si="25"/>
        <v>160300</v>
      </c>
      <c r="K828" s="60">
        <v>149800</v>
      </c>
      <c r="L828" s="3"/>
    </row>
    <row r="829" spans="2:12" ht="12" customHeight="1">
      <c r="B829" s="48">
        <v>824</v>
      </c>
      <c r="C829" s="56" t="s">
        <v>116</v>
      </c>
      <c r="D829" s="56" t="s">
        <v>4</v>
      </c>
      <c r="E829" s="56">
        <v>635</v>
      </c>
      <c r="F829" s="57">
        <v>95</v>
      </c>
      <c r="G829" s="58">
        <v>0.22</v>
      </c>
      <c r="H829" s="59" t="s">
        <v>6</v>
      </c>
      <c r="I829" s="43">
        <f t="shared" si="24"/>
        <v>162300</v>
      </c>
      <c r="J829" s="49">
        <f t="shared" si="25"/>
        <v>160300</v>
      </c>
      <c r="K829" s="60">
        <v>149800</v>
      </c>
      <c r="L829" s="3"/>
    </row>
    <row r="830" spans="2:12" ht="12" customHeight="1">
      <c r="B830" s="48">
        <v>825</v>
      </c>
      <c r="C830" s="56" t="s">
        <v>116</v>
      </c>
      <c r="D830" s="56" t="s">
        <v>4</v>
      </c>
      <c r="E830" s="56">
        <v>640</v>
      </c>
      <c r="F830" s="57">
        <v>117</v>
      </c>
      <c r="G830" s="58">
        <v>0.3</v>
      </c>
      <c r="H830" s="59" t="s">
        <v>6</v>
      </c>
      <c r="I830" s="43">
        <f t="shared" si="24"/>
        <v>162300</v>
      </c>
      <c r="J830" s="49">
        <f t="shared" si="25"/>
        <v>160300</v>
      </c>
      <c r="K830" s="60">
        <v>149800</v>
      </c>
      <c r="L830" s="3"/>
    </row>
    <row r="831" spans="2:12" ht="12" customHeight="1">
      <c r="B831" s="48">
        <v>826</v>
      </c>
      <c r="C831" s="56" t="s">
        <v>116</v>
      </c>
      <c r="D831" s="56" t="s">
        <v>4</v>
      </c>
      <c r="E831" s="56">
        <v>700</v>
      </c>
      <c r="F831" s="57">
        <v>85</v>
      </c>
      <c r="G831" s="58">
        <v>0.28499999999999998</v>
      </c>
      <c r="H831" s="59" t="s">
        <v>34</v>
      </c>
      <c r="I831" s="43">
        <f t="shared" si="24"/>
        <v>162300</v>
      </c>
      <c r="J831" s="49">
        <f t="shared" si="25"/>
        <v>160300</v>
      </c>
      <c r="K831" s="60">
        <v>149800</v>
      </c>
      <c r="L831" s="3"/>
    </row>
    <row r="832" spans="2:12" ht="12" customHeight="1">
      <c r="B832" s="48">
        <v>827</v>
      </c>
      <c r="C832" s="56" t="s">
        <v>213</v>
      </c>
      <c r="D832" s="56" t="s">
        <v>4</v>
      </c>
      <c r="E832" s="56">
        <v>40</v>
      </c>
      <c r="F832" s="57">
        <v>4770</v>
      </c>
      <c r="G832" s="58">
        <v>4.7E-2</v>
      </c>
      <c r="H832" s="59" t="s">
        <v>195</v>
      </c>
      <c r="I832" s="43">
        <f t="shared" si="24"/>
        <v>90200</v>
      </c>
      <c r="J832" s="49">
        <f t="shared" si="25"/>
        <v>88200</v>
      </c>
      <c r="K832" s="60">
        <v>82400</v>
      </c>
      <c r="L832" s="3"/>
    </row>
    <row r="833" spans="2:12" ht="12" customHeight="1">
      <c r="B833" s="48">
        <v>828</v>
      </c>
      <c r="C833" s="56" t="s">
        <v>117</v>
      </c>
      <c r="D833" s="56" t="s">
        <v>4</v>
      </c>
      <c r="E833" s="56">
        <v>4.75</v>
      </c>
      <c r="F833" s="57">
        <v>1730</v>
      </c>
      <c r="G833" s="58">
        <f>0.277-0.011-0.012-0.016-0.02-0.01</f>
        <v>0.20799999999999999</v>
      </c>
      <c r="H833" s="59" t="s">
        <v>262</v>
      </c>
      <c r="I833" s="43">
        <f t="shared" si="24"/>
        <v>402800</v>
      </c>
      <c r="J833" s="49">
        <f t="shared" si="25"/>
        <v>400800</v>
      </c>
      <c r="K833" s="60">
        <v>374500</v>
      </c>
      <c r="L833" s="3"/>
    </row>
    <row r="834" spans="2:12" ht="12" customHeight="1">
      <c r="B834" s="48">
        <v>829</v>
      </c>
      <c r="C834" s="56" t="s">
        <v>117</v>
      </c>
      <c r="D834" s="56" t="s">
        <v>4</v>
      </c>
      <c r="E834" s="56">
        <v>16</v>
      </c>
      <c r="F834" s="57">
        <v>4160</v>
      </c>
      <c r="G834" s="58">
        <f>0.512-0.019</f>
        <v>0.49299999999999999</v>
      </c>
      <c r="H834" s="59" t="s">
        <v>8</v>
      </c>
      <c r="I834" s="43">
        <f t="shared" si="24"/>
        <v>328400</v>
      </c>
      <c r="J834" s="49">
        <f t="shared" si="25"/>
        <v>326400</v>
      </c>
      <c r="K834" s="60">
        <v>305000</v>
      </c>
      <c r="L834" s="3"/>
    </row>
    <row r="835" spans="2:12" ht="12" customHeight="1">
      <c r="B835" s="48">
        <v>830</v>
      </c>
      <c r="C835" s="56" t="s">
        <v>117</v>
      </c>
      <c r="D835" s="56" t="s">
        <v>4</v>
      </c>
      <c r="E835" s="56">
        <v>16</v>
      </c>
      <c r="F835" s="57">
        <v>4185</v>
      </c>
      <c r="G835" s="58">
        <v>0.502</v>
      </c>
      <c r="H835" s="59" t="s">
        <v>8</v>
      </c>
      <c r="I835" s="43">
        <f t="shared" si="24"/>
        <v>328400</v>
      </c>
      <c r="J835" s="49">
        <f t="shared" si="25"/>
        <v>326400</v>
      </c>
      <c r="K835" s="60">
        <v>305000</v>
      </c>
      <c r="L835" s="3"/>
    </row>
    <row r="836" spans="2:12" ht="12" customHeight="1">
      <c r="B836" s="48">
        <v>831</v>
      </c>
      <c r="C836" s="56" t="s">
        <v>117</v>
      </c>
      <c r="D836" s="56" t="s">
        <v>4</v>
      </c>
      <c r="E836" s="56">
        <v>16</v>
      </c>
      <c r="F836" s="57">
        <v>4200</v>
      </c>
      <c r="G836" s="58">
        <v>0.56000000000000005</v>
      </c>
      <c r="H836" s="59" t="s">
        <v>8</v>
      </c>
      <c r="I836" s="43">
        <f t="shared" si="24"/>
        <v>328400</v>
      </c>
      <c r="J836" s="49">
        <f t="shared" si="25"/>
        <v>326400</v>
      </c>
      <c r="K836" s="60">
        <v>305000</v>
      </c>
      <c r="L836" s="3"/>
    </row>
    <row r="837" spans="2:12" ht="12" customHeight="1">
      <c r="B837" s="48">
        <v>832</v>
      </c>
      <c r="C837" s="56" t="s">
        <v>117</v>
      </c>
      <c r="D837" s="56" t="s">
        <v>4</v>
      </c>
      <c r="E837" s="56">
        <v>17</v>
      </c>
      <c r="F837" s="57">
        <v>1730</v>
      </c>
      <c r="G837" s="58">
        <f>0.14-0.016-0.013-0.011</f>
        <v>0.10000000000000002</v>
      </c>
      <c r="H837" s="59" t="s">
        <v>195</v>
      </c>
      <c r="I837" s="43">
        <f t="shared" si="24"/>
        <v>328400</v>
      </c>
      <c r="J837" s="49">
        <f t="shared" si="25"/>
        <v>326400</v>
      </c>
      <c r="K837" s="60">
        <v>305000</v>
      </c>
      <c r="L837" s="3"/>
    </row>
    <row r="838" spans="2:12" ht="12" customHeight="1">
      <c r="B838" s="48">
        <v>833</v>
      </c>
      <c r="C838" s="56" t="s">
        <v>117</v>
      </c>
      <c r="D838" s="56" t="s">
        <v>4</v>
      </c>
      <c r="E838" s="56">
        <v>18</v>
      </c>
      <c r="F838" s="57">
        <v>4125</v>
      </c>
      <c r="G838" s="58">
        <v>0.46800000000000003</v>
      </c>
      <c r="H838" s="59" t="s">
        <v>8</v>
      </c>
      <c r="I838" s="43">
        <f t="shared" ref="I838:I901" si="26">J838+2000</f>
        <v>328400</v>
      </c>
      <c r="J838" s="49">
        <f t="shared" si="25"/>
        <v>326400</v>
      </c>
      <c r="K838" s="60">
        <v>305000</v>
      </c>
      <c r="L838" s="3"/>
    </row>
    <row r="839" spans="2:12" ht="12" customHeight="1">
      <c r="B839" s="48">
        <v>834</v>
      </c>
      <c r="C839" s="56" t="s">
        <v>117</v>
      </c>
      <c r="D839" s="56" t="s">
        <v>4</v>
      </c>
      <c r="E839" s="56">
        <v>18</v>
      </c>
      <c r="F839" s="57">
        <v>3930</v>
      </c>
      <c r="G839" s="58">
        <v>0.27</v>
      </c>
      <c r="H839" s="59" t="s">
        <v>8</v>
      </c>
      <c r="I839" s="43">
        <f t="shared" si="26"/>
        <v>328400</v>
      </c>
      <c r="J839" s="49">
        <f t="shared" ref="J839:J902" si="27">ROUNDUP(K839*1.07,-2)</f>
        <v>326400</v>
      </c>
      <c r="K839" s="60">
        <v>305000</v>
      </c>
      <c r="L839" s="5"/>
    </row>
    <row r="840" spans="2:12" ht="12" customHeight="1">
      <c r="B840" s="48">
        <v>835</v>
      </c>
      <c r="C840" s="56" t="s">
        <v>117</v>
      </c>
      <c r="D840" s="56" t="s">
        <v>4</v>
      </c>
      <c r="E840" s="56">
        <v>18</v>
      </c>
      <c r="F840" s="57">
        <v>4100</v>
      </c>
      <c r="G840" s="58">
        <f>0.21-0.008</f>
        <v>0.20199999999999999</v>
      </c>
      <c r="H840" s="59" t="s">
        <v>8</v>
      </c>
      <c r="I840" s="43">
        <f t="shared" si="26"/>
        <v>328400</v>
      </c>
      <c r="J840" s="49">
        <f t="shared" si="27"/>
        <v>326400</v>
      </c>
      <c r="K840" s="60">
        <v>305000</v>
      </c>
      <c r="L840" s="3"/>
    </row>
    <row r="841" spans="2:12" ht="12" customHeight="1">
      <c r="B841" s="48">
        <v>836</v>
      </c>
      <c r="C841" s="56" t="s">
        <v>117</v>
      </c>
      <c r="D841" s="56" t="s">
        <v>4</v>
      </c>
      <c r="E841" s="56">
        <v>18</v>
      </c>
      <c r="F841" s="57">
        <v>4145</v>
      </c>
      <c r="G841" s="58">
        <v>0.42</v>
      </c>
      <c r="H841" s="59" t="s">
        <v>8</v>
      </c>
      <c r="I841" s="43">
        <f t="shared" si="26"/>
        <v>328400</v>
      </c>
      <c r="J841" s="49">
        <f t="shared" si="27"/>
        <v>326400</v>
      </c>
      <c r="K841" s="60">
        <v>305000</v>
      </c>
      <c r="L841" s="3"/>
    </row>
    <row r="842" spans="2:12" s="11" customFormat="1" ht="12" customHeight="1">
      <c r="B842" s="48">
        <v>837</v>
      </c>
      <c r="C842" s="56" t="s">
        <v>117</v>
      </c>
      <c r="D842" s="56" t="s">
        <v>4</v>
      </c>
      <c r="E842" s="56">
        <v>18</v>
      </c>
      <c r="F842" s="57">
        <v>3975</v>
      </c>
      <c r="G842" s="58">
        <v>1.1180000000000001</v>
      </c>
      <c r="H842" s="59" t="s">
        <v>8</v>
      </c>
      <c r="I842" s="43">
        <f t="shared" si="26"/>
        <v>328400</v>
      </c>
      <c r="J842" s="49">
        <f t="shared" si="27"/>
        <v>326400</v>
      </c>
      <c r="K842" s="60">
        <v>305000</v>
      </c>
      <c r="L842" s="3"/>
    </row>
    <row r="843" spans="2:12" ht="12" customHeight="1">
      <c r="B843" s="48">
        <v>838</v>
      </c>
      <c r="C843" s="56" t="s">
        <v>117</v>
      </c>
      <c r="D843" s="56" t="s">
        <v>4</v>
      </c>
      <c r="E843" s="56">
        <v>27</v>
      </c>
      <c r="F843" s="57">
        <v>3085</v>
      </c>
      <c r="G843" s="58">
        <v>1.2999999999999999E-2</v>
      </c>
      <c r="H843" s="59" t="s">
        <v>195</v>
      </c>
      <c r="I843" s="43">
        <f t="shared" si="26"/>
        <v>328400</v>
      </c>
      <c r="J843" s="49">
        <f t="shared" si="27"/>
        <v>326400</v>
      </c>
      <c r="K843" s="60">
        <v>305000</v>
      </c>
      <c r="L843" s="3"/>
    </row>
    <row r="844" spans="2:12" ht="12" customHeight="1">
      <c r="B844" s="48">
        <v>839</v>
      </c>
      <c r="C844" s="56" t="s">
        <v>117</v>
      </c>
      <c r="D844" s="56" t="s">
        <v>4</v>
      </c>
      <c r="E844" s="56">
        <v>36</v>
      </c>
      <c r="F844" s="57">
        <v>500</v>
      </c>
      <c r="G844" s="58">
        <f>0.059+0.005+0.006+0.017</f>
        <v>8.7000000000000008E-2</v>
      </c>
      <c r="H844" s="59" t="s">
        <v>195</v>
      </c>
      <c r="I844" s="43">
        <f t="shared" si="26"/>
        <v>328400</v>
      </c>
      <c r="J844" s="49">
        <f t="shared" si="27"/>
        <v>326400</v>
      </c>
      <c r="K844" s="60">
        <v>305000</v>
      </c>
      <c r="L844" s="3"/>
    </row>
    <row r="845" spans="2:12" ht="12" customHeight="1">
      <c r="B845" s="48">
        <v>840</v>
      </c>
      <c r="C845" s="56" t="s">
        <v>117</v>
      </c>
      <c r="D845" s="56" t="s">
        <v>4</v>
      </c>
      <c r="E845" s="56">
        <v>40</v>
      </c>
      <c r="F845" s="57">
        <v>1280</v>
      </c>
      <c r="G845" s="58">
        <v>0.04</v>
      </c>
      <c r="H845" s="59" t="s">
        <v>195</v>
      </c>
      <c r="I845" s="43">
        <f t="shared" si="26"/>
        <v>328400</v>
      </c>
      <c r="J845" s="49">
        <f t="shared" si="27"/>
        <v>326400</v>
      </c>
      <c r="K845" s="60">
        <v>305000</v>
      </c>
      <c r="L845" s="3"/>
    </row>
    <row r="846" spans="2:12" ht="12" customHeight="1">
      <c r="B846" s="48">
        <v>841</v>
      </c>
      <c r="C846" s="56" t="s">
        <v>117</v>
      </c>
      <c r="D846" s="56" t="s">
        <v>4</v>
      </c>
      <c r="E846" s="56">
        <v>70</v>
      </c>
      <c r="F846" s="57">
        <v>1420</v>
      </c>
      <c r="G846" s="58">
        <v>0.04</v>
      </c>
      <c r="H846" s="59" t="s">
        <v>195</v>
      </c>
      <c r="I846" s="43">
        <f t="shared" si="26"/>
        <v>328400</v>
      </c>
      <c r="J846" s="49">
        <f t="shared" si="27"/>
        <v>326400</v>
      </c>
      <c r="K846" s="60">
        <v>305000</v>
      </c>
      <c r="L846" s="3"/>
    </row>
    <row r="847" spans="2:12" ht="12" customHeight="1">
      <c r="B847" s="48">
        <v>842</v>
      </c>
      <c r="C847" s="56" t="s">
        <v>117</v>
      </c>
      <c r="D847" s="56" t="s">
        <v>4</v>
      </c>
      <c r="E847" s="56">
        <v>70</v>
      </c>
      <c r="F847" s="57">
        <v>1650</v>
      </c>
      <c r="G847" s="58">
        <v>4.8000000000000001E-2</v>
      </c>
      <c r="H847" s="59" t="s">
        <v>195</v>
      </c>
      <c r="I847" s="43">
        <f t="shared" si="26"/>
        <v>328400</v>
      </c>
      <c r="J847" s="49">
        <f t="shared" si="27"/>
        <v>326400</v>
      </c>
      <c r="K847" s="60">
        <v>305000</v>
      </c>
      <c r="L847" s="3"/>
    </row>
    <row r="848" spans="2:12" ht="12" customHeight="1">
      <c r="B848" s="48">
        <v>843</v>
      </c>
      <c r="C848" s="56" t="s">
        <v>117</v>
      </c>
      <c r="D848" s="56" t="s">
        <v>4</v>
      </c>
      <c r="E848" s="56">
        <v>70</v>
      </c>
      <c r="F848" s="57">
        <v>1740</v>
      </c>
      <c r="G848" s="58">
        <v>0.05</v>
      </c>
      <c r="H848" s="59" t="s">
        <v>195</v>
      </c>
      <c r="I848" s="43">
        <f t="shared" si="26"/>
        <v>328400</v>
      </c>
      <c r="J848" s="49">
        <f t="shared" si="27"/>
        <v>326400</v>
      </c>
      <c r="K848" s="60">
        <v>305000</v>
      </c>
      <c r="L848" s="3"/>
    </row>
    <row r="849" spans="2:12" ht="12" customHeight="1">
      <c r="B849" s="48">
        <v>844</v>
      </c>
      <c r="C849" s="56" t="s">
        <v>117</v>
      </c>
      <c r="D849" s="56" t="s">
        <v>4</v>
      </c>
      <c r="E849" s="56">
        <v>71</v>
      </c>
      <c r="F849" s="57">
        <v>670</v>
      </c>
      <c r="G849" s="58">
        <v>4.1000000000000002E-2</v>
      </c>
      <c r="H849" s="59" t="s">
        <v>260</v>
      </c>
      <c r="I849" s="43">
        <f t="shared" si="26"/>
        <v>328400</v>
      </c>
      <c r="J849" s="49">
        <f t="shared" si="27"/>
        <v>326400</v>
      </c>
      <c r="K849" s="60">
        <v>305000</v>
      </c>
      <c r="L849" s="5"/>
    </row>
    <row r="850" spans="2:12" ht="12" customHeight="1">
      <c r="B850" s="48">
        <v>845</v>
      </c>
      <c r="C850" s="56" t="s">
        <v>117</v>
      </c>
      <c r="D850" s="56" t="s">
        <v>4</v>
      </c>
      <c r="E850" s="56">
        <v>100</v>
      </c>
      <c r="F850" s="57">
        <v>370</v>
      </c>
      <c r="G850" s="58">
        <v>0.158</v>
      </c>
      <c r="H850" s="59" t="s">
        <v>260</v>
      </c>
      <c r="I850" s="43">
        <f t="shared" si="26"/>
        <v>328400</v>
      </c>
      <c r="J850" s="49">
        <f t="shared" si="27"/>
        <v>326400</v>
      </c>
      <c r="K850" s="60">
        <v>305000</v>
      </c>
      <c r="L850" s="3"/>
    </row>
    <row r="851" spans="2:12" ht="12" customHeight="1">
      <c r="B851" s="48">
        <v>846</v>
      </c>
      <c r="C851" s="56" t="s">
        <v>117</v>
      </c>
      <c r="D851" s="56" t="s">
        <v>4</v>
      </c>
      <c r="E851" s="56">
        <v>100</v>
      </c>
      <c r="F851" s="57">
        <v>1380</v>
      </c>
      <c r="G851" s="58">
        <f>0.077+0.084-0.077</f>
        <v>8.4000000000000005E-2</v>
      </c>
      <c r="H851" s="59" t="s">
        <v>195</v>
      </c>
      <c r="I851" s="43">
        <f t="shared" si="26"/>
        <v>328400</v>
      </c>
      <c r="J851" s="49">
        <f t="shared" si="27"/>
        <v>326400</v>
      </c>
      <c r="K851" s="60">
        <v>305000</v>
      </c>
      <c r="L851" s="3"/>
    </row>
    <row r="852" spans="2:12" ht="12" customHeight="1">
      <c r="B852" s="48">
        <v>847</v>
      </c>
      <c r="C852" s="56" t="s">
        <v>117</v>
      </c>
      <c r="D852" s="56" t="s">
        <v>4</v>
      </c>
      <c r="E852" s="56">
        <v>100</v>
      </c>
      <c r="F852" s="57">
        <v>3020</v>
      </c>
      <c r="G852" s="58">
        <v>0.185</v>
      </c>
      <c r="H852" s="59" t="s">
        <v>195</v>
      </c>
      <c r="I852" s="43">
        <f t="shared" si="26"/>
        <v>328400</v>
      </c>
      <c r="J852" s="49">
        <f t="shared" si="27"/>
        <v>326400</v>
      </c>
      <c r="K852" s="60">
        <v>305000</v>
      </c>
      <c r="L852" s="3"/>
    </row>
    <row r="853" spans="2:12" ht="12" customHeight="1">
      <c r="B853" s="48">
        <v>848</v>
      </c>
      <c r="C853" s="56" t="s">
        <v>117</v>
      </c>
      <c r="D853" s="56" t="s">
        <v>4</v>
      </c>
      <c r="E853" s="56">
        <v>100</v>
      </c>
      <c r="F853" s="57">
        <v>4550</v>
      </c>
      <c r="G853" s="58">
        <f>0.266+0.266+0.277-0.533</f>
        <v>0.27600000000000002</v>
      </c>
      <c r="H853" s="59" t="s">
        <v>195</v>
      </c>
      <c r="I853" s="43">
        <f t="shared" si="26"/>
        <v>328400</v>
      </c>
      <c r="J853" s="49">
        <f t="shared" si="27"/>
        <v>326400</v>
      </c>
      <c r="K853" s="60">
        <v>305000</v>
      </c>
      <c r="L853" s="3"/>
    </row>
    <row r="854" spans="2:12" ht="12" customHeight="1">
      <c r="B854" s="48">
        <v>849</v>
      </c>
      <c r="C854" s="56" t="s">
        <v>117</v>
      </c>
      <c r="D854" s="56" t="s">
        <v>4</v>
      </c>
      <c r="E854" s="56">
        <v>152</v>
      </c>
      <c r="F854" s="57">
        <v>2160</v>
      </c>
      <c r="G854" s="58">
        <v>0.31</v>
      </c>
      <c r="H854" s="59" t="s">
        <v>253</v>
      </c>
      <c r="I854" s="43">
        <f t="shared" si="26"/>
        <v>328400</v>
      </c>
      <c r="J854" s="49">
        <f t="shared" si="27"/>
        <v>326400</v>
      </c>
      <c r="K854" s="60">
        <v>305000</v>
      </c>
      <c r="L854" s="3"/>
    </row>
    <row r="855" spans="2:12" ht="12" customHeight="1">
      <c r="B855" s="48">
        <v>850</v>
      </c>
      <c r="C855" s="56" t="s">
        <v>117</v>
      </c>
      <c r="D855" s="56" t="s">
        <v>4</v>
      </c>
      <c r="E855" s="56">
        <v>160</v>
      </c>
      <c r="F855" s="57">
        <v>1177</v>
      </c>
      <c r="G855" s="58">
        <v>0.185</v>
      </c>
      <c r="H855" s="59" t="s">
        <v>195</v>
      </c>
      <c r="I855" s="43">
        <f t="shared" si="26"/>
        <v>328400</v>
      </c>
      <c r="J855" s="49">
        <f t="shared" si="27"/>
        <v>326400</v>
      </c>
      <c r="K855" s="60">
        <v>305000</v>
      </c>
      <c r="L855" s="3"/>
    </row>
    <row r="856" spans="2:12" ht="12" customHeight="1">
      <c r="B856" s="48">
        <v>851</v>
      </c>
      <c r="C856" s="56" t="s">
        <v>117</v>
      </c>
      <c r="D856" s="56" t="s">
        <v>4</v>
      </c>
      <c r="E856" s="56">
        <v>180</v>
      </c>
      <c r="F856" s="57">
        <v>1400</v>
      </c>
      <c r="G856" s="58">
        <v>0.27600000000000002</v>
      </c>
      <c r="H856" s="59" t="s">
        <v>195</v>
      </c>
      <c r="I856" s="43">
        <f t="shared" si="26"/>
        <v>328400</v>
      </c>
      <c r="J856" s="49">
        <f t="shared" si="27"/>
        <v>326400</v>
      </c>
      <c r="K856" s="60">
        <v>305000</v>
      </c>
      <c r="L856" s="3"/>
    </row>
    <row r="857" spans="2:12" ht="12" customHeight="1">
      <c r="B857" s="48">
        <v>852</v>
      </c>
      <c r="C857" s="74" t="s">
        <v>118</v>
      </c>
      <c r="D857" s="74" t="s">
        <v>4</v>
      </c>
      <c r="E857" s="74">
        <v>50</v>
      </c>
      <c r="F857" s="77">
        <v>2010</v>
      </c>
      <c r="G857" s="75">
        <v>3.1E-2</v>
      </c>
      <c r="H857" s="59" t="s">
        <v>195</v>
      </c>
      <c r="I857" s="43">
        <f t="shared" si="26"/>
        <v>128000</v>
      </c>
      <c r="J857" s="49">
        <f t="shared" si="27"/>
        <v>126000</v>
      </c>
      <c r="K857" s="71">
        <v>117700</v>
      </c>
      <c r="L857" s="3"/>
    </row>
    <row r="858" spans="2:12" ht="12" customHeight="1">
      <c r="B858" s="48">
        <v>853</v>
      </c>
      <c r="C858" s="56" t="s">
        <v>118</v>
      </c>
      <c r="D858" s="56" t="s">
        <v>4</v>
      </c>
      <c r="E858" s="56">
        <v>110</v>
      </c>
      <c r="F858" s="57">
        <v>2310</v>
      </c>
      <c r="G858" s="58">
        <v>0.17199999999999999</v>
      </c>
      <c r="H858" s="59" t="s">
        <v>195</v>
      </c>
      <c r="I858" s="43">
        <f t="shared" si="26"/>
        <v>191000</v>
      </c>
      <c r="J858" s="49">
        <f t="shared" si="27"/>
        <v>189000</v>
      </c>
      <c r="K858" s="60">
        <v>176600</v>
      </c>
      <c r="L858" s="5"/>
    </row>
    <row r="859" spans="2:12" ht="12" customHeight="1">
      <c r="B859" s="48">
        <v>854</v>
      </c>
      <c r="C859" s="56" t="s">
        <v>118</v>
      </c>
      <c r="D859" s="56" t="s">
        <v>4</v>
      </c>
      <c r="E859" s="56">
        <v>160</v>
      </c>
      <c r="F859" s="57">
        <v>2760</v>
      </c>
      <c r="G859" s="58">
        <f>1.638-0.513-0.09</f>
        <v>1.0349999999999999</v>
      </c>
      <c r="H859" s="59" t="s">
        <v>34</v>
      </c>
      <c r="I859" s="43">
        <f t="shared" si="26"/>
        <v>191000</v>
      </c>
      <c r="J859" s="49">
        <f t="shared" si="27"/>
        <v>189000</v>
      </c>
      <c r="K859" s="60">
        <v>176600</v>
      </c>
      <c r="L859" s="3"/>
    </row>
    <row r="860" spans="2:12" ht="12" customHeight="1">
      <c r="B860" s="48">
        <v>855</v>
      </c>
      <c r="C860" s="56" t="s">
        <v>119</v>
      </c>
      <c r="D860" s="56" t="s">
        <v>4</v>
      </c>
      <c r="E860" s="56">
        <v>300</v>
      </c>
      <c r="F860" s="57">
        <v>115</v>
      </c>
      <c r="G860" s="58">
        <v>6.4000000000000001E-2</v>
      </c>
      <c r="H860" s="59" t="s">
        <v>195</v>
      </c>
      <c r="I860" s="43">
        <f t="shared" si="26"/>
        <v>191000</v>
      </c>
      <c r="J860" s="49">
        <f t="shared" si="27"/>
        <v>189000</v>
      </c>
      <c r="K860" s="60">
        <v>176600</v>
      </c>
      <c r="L860" s="3"/>
    </row>
    <row r="861" spans="2:12" ht="12" customHeight="1">
      <c r="B861" s="48">
        <v>856</v>
      </c>
      <c r="C861" s="56" t="s">
        <v>285</v>
      </c>
      <c r="D861" s="56" t="s">
        <v>4</v>
      </c>
      <c r="E861" s="56">
        <v>300</v>
      </c>
      <c r="F861" s="57">
        <v>2430</v>
      </c>
      <c r="G861" s="58">
        <v>1.49</v>
      </c>
      <c r="H861" s="59" t="s">
        <v>6</v>
      </c>
      <c r="I861" s="43">
        <f t="shared" si="26"/>
        <v>162300</v>
      </c>
      <c r="J861" s="49">
        <f t="shared" si="27"/>
        <v>160300</v>
      </c>
      <c r="K861" s="60">
        <v>149800</v>
      </c>
      <c r="L861" s="3"/>
    </row>
    <row r="862" spans="2:12" ht="12" customHeight="1">
      <c r="B862" s="48">
        <v>857</v>
      </c>
      <c r="C862" s="56" t="s">
        <v>120</v>
      </c>
      <c r="D862" s="56" t="s">
        <v>4</v>
      </c>
      <c r="E862" s="56">
        <v>64</v>
      </c>
      <c r="F862" s="57">
        <v>3770</v>
      </c>
      <c r="G862" s="58">
        <f>0.36-0.11-0.098</f>
        <v>0.152</v>
      </c>
      <c r="H862" s="59" t="s">
        <v>195</v>
      </c>
      <c r="I862" s="43">
        <f t="shared" si="26"/>
        <v>102800</v>
      </c>
      <c r="J862" s="49">
        <f t="shared" si="27"/>
        <v>100800</v>
      </c>
      <c r="K862" s="60">
        <v>94200</v>
      </c>
      <c r="L862" s="3"/>
    </row>
    <row r="863" spans="2:12" ht="12" customHeight="1">
      <c r="B863" s="48">
        <v>858</v>
      </c>
      <c r="C863" s="56" t="s">
        <v>120</v>
      </c>
      <c r="D863" s="56" t="s">
        <v>4</v>
      </c>
      <c r="E863" s="56">
        <v>65</v>
      </c>
      <c r="F863" s="57">
        <v>5000</v>
      </c>
      <c r="G863" s="58">
        <f>3.275-0.256-0.235-0.13-0.13-0.261</f>
        <v>2.2630000000000003</v>
      </c>
      <c r="H863" s="59" t="s">
        <v>195</v>
      </c>
      <c r="I863" s="43">
        <f t="shared" si="26"/>
        <v>102800</v>
      </c>
      <c r="J863" s="49">
        <f t="shared" si="27"/>
        <v>100800</v>
      </c>
      <c r="K863" s="60">
        <v>94200</v>
      </c>
      <c r="L863" s="3"/>
    </row>
    <row r="864" spans="2:12" ht="12" customHeight="1">
      <c r="B864" s="48">
        <v>859</v>
      </c>
      <c r="C864" s="56" t="s">
        <v>121</v>
      </c>
      <c r="D864" s="56" t="s">
        <v>4</v>
      </c>
      <c r="E864" s="56">
        <v>30</v>
      </c>
      <c r="F864" s="57">
        <v>1810</v>
      </c>
      <c r="G864" s="58">
        <v>2.5000000000000001E-2</v>
      </c>
      <c r="H864" s="59" t="s">
        <v>195</v>
      </c>
      <c r="I864" s="43">
        <f t="shared" si="26"/>
        <v>102800</v>
      </c>
      <c r="J864" s="49">
        <f t="shared" si="27"/>
        <v>100800</v>
      </c>
      <c r="K864" s="60">
        <v>94200</v>
      </c>
      <c r="L864" s="3"/>
    </row>
    <row r="865" spans="2:12" ht="12" customHeight="1">
      <c r="B865" s="48">
        <v>860</v>
      </c>
      <c r="C865" s="56" t="s">
        <v>121</v>
      </c>
      <c r="D865" s="56" t="s">
        <v>4</v>
      </c>
      <c r="E865" s="56">
        <v>70</v>
      </c>
      <c r="F865" s="57">
        <v>3360</v>
      </c>
      <c r="G865" s="58">
        <f>5.047-0.114-0.114-0.103-0.114-0.114-0.114-0.2-0.575-0.101-0.095-0.114-0.114-0.114-0.114-0.114-0.109-0.114-0.114-0.114-0.795-0.228-0.114-0.114</f>
        <v>1.1310000000000009</v>
      </c>
      <c r="H865" s="59" t="s">
        <v>195</v>
      </c>
      <c r="I865" s="43">
        <f t="shared" si="26"/>
        <v>102800</v>
      </c>
      <c r="J865" s="49">
        <f t="shared" si="27"/>
        <v>100800</v>
      </c>
      <c r="K865" s="60">
        <v>94200</v>
      </c>
      <c r="L865" s="3"/>
    </row>
    <row r="866" spans="2:12" ht="12" customHeight="1">
      <c r="B866" s="48">
        <v>861</v>
      </c>
      <c r="C866" s="56" t="s">
        <v>121</v>
      </c>
      <c r="D866" s="56" t="s">
        <v>4</v>
      </c>
      <c r="E866" s="56">
        <v>85</v>
      </c>
      <c r="F866" s="57">
        <v>3960</v>
      </c>
      <c r="G866" s="58">
        <f>2.48-0.202-0.046-0.202-0.149-0.176</f>
        <v>1.7050000000000003</v>
      </c>
      <c r="H866" s="59" t="s">
        <v>195</v>
      </c>
      <c r="I866" s="43">
        <f t="shared" si="26"/>
        <v>102800</v>
      </c>
      <c r="J866" s="49">
        <f t="shared" si="27"/>
        <v>100800</v>
      </c>
      <c r="K866" s="60">
        <v>94200</v>
      </c>
      <c r="L866" s="3"/>
    </row>
    <row r="867" spans="2:12" ht="12" customHeight="1">
      <c r="B867" s="48">
        <v>862</v>
      </c>
      <c r="C867" s="56" t="s">
        <v>122</v>
      </c>
      <c r="D867" s="56" t="s">
        <v>4</v>
      </c>
      <c r="E867" s="56">
        <v>40</v>
      </c>
      <c r="F867" s="57">
        <v>3050</v>
      </c>
      <c r="G867" s="58">
        <f>2.27-0.037-0.11-0.18-0.475-0.15-0.22-0.3</f>
        <v>0.79800000000000049</v>
      </c>
      <c r="H867" s="59" t="s">
        <v>195</v>
      </c>
      <c r="I867" s="43">
        <f t="shared" si="26"/>
        <v>90200</v>
      </c>
      <c r="J867" s="49">
        <f t="shared" si="27"/>
        <v>88200</v>
      </c>
      <c r="K867" s="60">
        <v>82400</v>
      </c>
      <c r="L867" s="3"/>
    </row>
    <row r="868" spans="2:12" ht="12" customHeight="1">
      <c r="B868" s="48">
        <v>863</v>
      </c>
      <c r="C868" s="56" t="s">
        <v>122</v>
      </c>
      <c r="D868" s="56" t="s">
        <v>4</v>
      </c>
      <c r="E868" s="56">
        <v>42</v>
      </c>
      <c r="F868" s="57">
        <v>1675</v>
      </c>
      <c r="G868" s="58">
        <v>1.7999999999999999E-2</v>
      </c>
      <c r="H868" s="59" t="s">
        <v>195</v>
      </c>
      <c r="I868" s="43">
        <f t="shared" si="26"/>
        <v>90200</v>
      </c>
      <c r="J868" s="49">
        <f t="shared" si="27"/>
        <v>88200</v>
      </c>
      <c r="K868" s="60">
        <v>82400</v>
      </c>
      <c r="L868" s="3"/>
    </row>
    <row r="869" spans="2:12" ht="12" customHeight="1">
      <c r="B869" s="48">
        <v>864</v>
      </c>
      <c r="C869" s="56" t="s">
        <v>122</v>
      </c>
      <c r="D869" s="56" t="s">
        <v>4</v>
      </c>
      <c r="E869" s="56">
        <v>630</v>
      </c>
      <c r="F869" s="57">
        <v>155</v>
      </c>
      <c r="G869" s="58">
        <v>0.46500000000000002</v>
      </c>
      <c r="H869" s="59" t="s">
        <v>6</v>
      </c>
      <c r="I869" s="43">
        <f t="shared" si="26"/>
        <v>191000</v>
      </c>
      <c r="J869" s="49">
        <f t="shared" si="27"/>
        <v>189000</v>
      </c>
      <c r="K869" s="60">
        <v>176600</v>
      </c>
      <c r="L869" s="3"/>
    </row>
    <row r="870" spans="2:12" ht="12" customHeight="1">
      <c r="B870" s="48">
        <v>865</v>
      </c>
      <c r="C870" s="56" t="s">
        <v>122</v>
      </c>
      <c r="D870" s="56" t="s">
        <v>4</v>
      </c>
      <c r="E870" s="56">
        <v>670</v>
      </c>
      <c r="F870" s="57">
        <v>155</v>
      </c>
      <c r="G870" s="58">
        <v>0.48499999999999999</v>
      </c>
      <c r="H870" s="59" t="s">
        <v>6</v>
      </c>
      <c r="I870" s="43">
        <f t="shared" si="26"/>
        <v>191000</v>
      </c>
      <c r="J870" s="49">
        <f t="shared" si="27"/>
        <v>189000</v>
      </c>
      <c r="K870" s="60">
        <v>176600</v>
      </c>
      <c r="L870" s="3"/>
    </row>
    <row r="871" spans="2:12" ht="12" customHeight="1">
      <c r="B871" s="48">
        <v>866</v>
      </c>
      <c r="C871" s="56" t="s">
        <v>123</v>
      </c>
      <c r="D871" s="56" t="s">
        <v>4</v>
      </c>
      <c r="E871" s="56">
        <v>60</v>
      </c>
      <c r="F871" s="57">
        <v>2640</v>
      </c>
      <c r="G871" s="58">
        <f>4.195-0.062-0.089</f>
        <v>4.0439999999999996</v>
      </c>
      <c r="H871" s="59" t="s">
        <v>195</v>
      </c>
      <c r="I871" s="43">
        <f t="shared" si="26"/>
        <v>173800</v>
      </c>
      <c r="J871" s="49">
        <f t="shared" si="27"/>
        <v>171800</v>
      </c>
      <c r="K871" s="60">
        <v>160500</v>
      </c>
      <c r="L871" s="3"/>
    </row>
    <row r="872" spans="2:12" ht="12" customHeight="1">
      <c r="B872" s="48">
        <v>867</v>
      </c>
      <c r="C872" s="56" t="s">
        <v>123</v>
      </c>
      <c r="D872" s="56" t="s">
        <v>4</v>
      </c>
      <c r="E872" s="56">
        <v>80</v>
      </c>
      <c r="F872" s="57" t="s">
        <v>125</v>
      </c>
      <c r="G872" s="58">
        <f>2.525-0.119</f>
        <v>2.4059999999999997</v>
      </c>
      <c r="H872" s="59" t="s">
        <v>195</v>
      </c>
      <c r="I872" s="43">
        <f t="shared" si="26"/>
        <v>173800</v>
      </c>
      <c r="J872" s="49">
        <f t="shared" si="27"/>
        <v>171800</v>
      </c>
      <c r="K872" s="60">
        <v>160500</v>
      </c>
      <c r="L872" s="5"/>
    </row>
    <row r="873" spans="2:12" s="5" customFormat="1" ht="12" customHeight="1">
      <c r="B873" s="48">
        <v>868</v>
      </c>
      <c r="C873" s="56" t="s">
        <v>123</v>
      </c>
      <c r="D873" s="56" t="s">
        <v>4</v>
      </c>
      <c r="E873" s="56">
        <v>80</v>
      </c>
      <c r="F873" s="57" t="s">
        <v>126</v>
      </c>
      <c r="G873" s="58">
        <v>2.5449999999999999</v>
      </c>
      <c r="H873" s="59" t="s">
        <v>195</v>
      </c>
      <c r="I873" s="43">
        <f t="shared" si="26"/>
        <v>173800</v>
      </c>
      <c r="J873" s="49">
        <f t="shared" si="27"/>
        <v>171800</v>
      </c>
      <c r="K873" s="60">
        <v>160500</v>
      </c>
    </row>
    <row r="874" spans="2:12" ht="12" customHeight="1">
      <c r="B874" s="48">
        <v>869</v>
      </c>
      <c r="C874" s="56" t="s">
        <v>123</v>
      </c>
      <c r="D874" s="56" t="s">
        <v>4</v>
      </c>
      <c r="E874" s="56">
        <v>90</v>
      </c>
      <c r="F874" s="57">
        <v>2170</v>
      </c>
      <c r="G874" s="58">
        <v>0.68300000000000005</v>
      </c>
      <c r="H874" s="59"/>
      <c r="I874" s="43">
        <f t="shared" si="26"/>
        <v>173800</v>
      </c>
      <c r="J874" s="49">
        <f t="shared" si="27"/>
        <v>171800</v>
      </c>
      <c r="K874" s="60">
        <v>160500</v>
      </c>
      <c r="L874" s="5"/>
    </row>
    <row r="875" spans="2:12" ht="12" customHeight="1">
      <c r="B875" s="48">
        <v>870</v>
      </c>
      <c r="C875" s="56" t="s">
        <v>127</v>
      </c>
      <c r="D875" s="56" t="s">
        <v>4</v>
      </c>
      <c r="E875" s="56">
        <v>70</v>
      </c>
      <c r="F875" s="57">
        <v>2670</v>
      </c>
      <c r="G875" s="58">
        <v>0.08</v>
      </c>
      <c r="H875" s="59" t="s">
        <v>195</v>
      </c>
      <c r="I875" s="43">
        <f t="shared" si="26"/>
        <v>134300</v>
      </c>
      <c r="J875" s="49">
        <f t="shared" si="27"/>
        <v>132300</v>
      </c>
      <c r="K875" s="60">
        <v>123600</v>
      </c>
      <c r="L875" s="3"/>
    </row>
    <row r="876" spans="2:12" ht="12" customHeight="1">
      <c r="B876" s="48">
        <v>871</v>
      </c>
      <c r="C876" s="56" t="s">
        <v>127</v>
      </c>
      <c r="D876" s="56" t="s">
        <v>4</v>
      </c>
      <c r="E876" s="56">
        <v>90</v>
      </c>
      <c r="F876" s="57">
        <v>875</v>
      </c>
      <c r="G876" s="58">
        <v>4.2999999999999997E-2</v>
      </c>
      <c r="H876" s="59" t="s">
        <v>195</v>
      </c>
      <c r="I876" s="43">
        <f t="shared" si="26"/>
        <v>134300</v>
      </c>
      <c r="J876" s="49">
        <f t="shared" si="27"/>
        <v>132300</v>
      </c>
      <c r="K876" s="60">
        <v>123600</v>
      </c>
      <c r="L876" s="3"/>
    </row>
    <row r="877" spans="2:12" ht="12" customHeight="1">
      <c r="B877" s="48">
        <v>872</v>
      </c>
      <c r="C877" s="56" t="s">
        <v>128</v>
      </c>
      <c r="D877" s="56" t="s">
        <v>4</v>
      </c>
      <c r="E877" s="56">
        <v>190</v>
      </c>
      <c r="F877" s="57">
        <v>1330</v>
      </c>
      <c r="G877" s="58">
        <v>0.64500000000000002</v>
      </c>
      <c r="H877" s="59" t="s">
        <v>6</v>
      </c>
      <c r="I877" s="43">
        <f t="shared" si="26"/>
        <v>93600</v>
      </c>
      <c r="J877" s="49">
        <f t="shared" si="27"/>
        <v>91600</v>
      </c>
      <c r="K877" s="60">
        <v>85600</v>
      </c>
      <c r="L877" s="3"/>
    </row>
    <row r="878" spans="2:12" ht="12" customHeight="1">
      <c r="B878" s="48">
        <v>873</v>
      </c>
      <c r="C878" s="56" t="s">
        <v>128</v>
      </c>
      <c r="D878" s="56" t="s">
        <v>4</v>
      </c>
      <c r="E878" s="56">
        <v>200</v>
      </c>
      <c r="F878" s="57">
        <v>2030</v>
      </c>
      <c r="G878" s="58">
        <v>0.505</v>
      </c>
      <c r="H878" s="59" t="s">
        <v>6</v>
      </c>
      <c r="I878" s="43">
        <f t="shared" si="26"/>
        <v>93600</v>
      </c>
      <c r="J878" s="49">
        <f t="shared" si="27"/>
        <v>91600</v>
      </c>
      <c r="K878" s="60">
        <v>85600</v>
      </c>
      <c r="L878" s="3"/>
    </row>
    <row r="879" spans="2:12" ht="12" customHeight="1">
      <c r="B879" s="48">
        <v>874</v>
      </c>
      <c r="C879" s="56" t="s">
        <v>129</v>
      </c>
      <c r="D879" s="56" t="s">
        <v>4</v>
      </c>
      <c r="E879" s="56">
        <v>95</v>
      </c>
      <c r="F879" s="57">
        <v>2670</v>
      </c>
      <c r="G879" s="58">
        <v>0.14499999999999999</v>
      </c>
      <c r="H879" s="59"/>
      <c r="I879" s="43">
        <f t="shared" si="26"/>
        <v>134300</v>
      </c>
      <c r="J879" s="49">
        <f t="shared" si="27"/>
        <v>132300</v>
      </c>
      <c r="K879" s="60">
        <v>123600</v>
      </c>
      <c r="L879" s="3"/>
    </row>
    <row r="880" spans="2:12" ht="12" customHeight="1">
      <c r="B880" s="48">
        <v>875</v>
      </c>
      <c r="C880" s="56" t="s">
        <v>129</v>
      </c>
      <c r="D880" s="56" t="s">
        <v>4</v>
      </c>
      <c r="E880" s="56">
        <v>140</v>
      </c>
      <c r="F880" s="57">
        <v>3190</v>
      </c>
      <c r="G880" s="58">
        <v>0.78800000000000003</v>
      </c>
      <c r="H880" s="59"/>
      <c r="I880" s="43">
        <f t="shared" si="26"/>
        <v>139400</v>
      </c>
      <c r="J880" s="49">
        <f t="shared" si="27"/>
        <v>137400</v>
      </c>
      <c r="K880" s="60">
        <v>128400</v>
      </c>
      <c r="L880" s="3"/>
    </row>
    <row r="881" spans="2:12" ht="12" customHeight="1">
      <c r="B881" s="48">
        <v>876</v>
      </c>
      <c r="C881" s="56" t="s">
        <v>130</v>
      </c>
      <c r="D881" s="56" t="s">
        <v>4</v>
      </c>
      <c r="E881" s="56">
        <v>130</v>
      </c>
      <c r="F881" s="57">
        <v>5150</v>
      </c>
      <c r="G881" s="58">
        <f>1.074-0.537</f>
        <v>0.53700000000000003</v>
      </c>
      <c r="H881" s="59" t="s">
        <v>195</v>
      </c>
      <c r="I881" s="43">
        <f t="shared" si="26"/>
        <v>109200</v>
      </c>
      <c r="J881" s="49">
        <f t="shared" si="27"/>
        <v>107200</v>
      </c>
      <c r="K881" s="60">
        <v>100100</v>
      </c>
      <c r="L881" s="3"/>
    </row>
    <row r="882" spans="2:12" ht="12" customHeight="1">
      <c r="B882" s="48">
        <v>877</v>
      </c>
      <c r="C882" s="56" t="s">
        <v>131</v>
      </c>
      <c r="D882" s="56" t="s">
        <v>4</v>
      </c>
      <c r="E882" s="56">
        <v>56</v>
      </c>
      <c r="F882" s="57">
        <v>4235</v>
      </c>
      <c r="G882" s="58">
        <f>0.59-0.268-0.083-0.158</f>
        <v>8.0999999999999933E-2</v>
      </c>
      <c r="H882" s="59" t="s">
        <v>195</v>
      </c>
      <c r="I882" s="43">
        <f t="shared" si="26"/>
        <v>123300</v>
      </c>
      <c r="J882" s="49">
        <f t="shared" si="27"/>
        <v>121300</v>
      </c>
      <c r="K882" s="60">
        <v>113300</v>
      </c>
      <c r="L882" s="3"/>
    </row>
    <row r="883" spans="2:12" ht="12" customHeight="1">
      <c r="B883" s="48">
        <v>878</v>
      </c>
      <c r="C883" s="56" t="s">
        <v>132</v>
      </c>
      <c r="D883" s="56" t="s">
        <v>4</v>
      </c>
      <c r="E883" s="56">
        <v>90</v>
      </c>
      <c r="F883" s="57">
        <v>4585</v>
      </c>
      <c r="G883" s="58">
        <v>0.70799999999999996</v>
      </c>
      <c r="H883" s="59"/>
      <c r="I883" s="43">
        <f t="shared" si="26"/>
        <v>121800</v>
      </c>
      <c r="J883" s="49">
        <f t="shared" si="27"/>
        <v>119800</v>
      </c>
      <c r="K883" s="60">
        <v>111900</v>
      </c>
      <c r="L883" s="3"/>
    </row>
    <row r="884" spans="2:12" ht="12" customHeight="1">
      <c r="B884" s="48">
        <v>879</v>
      </c>
      <c r="C884" s="56" t="s">
        <v>236</v>
      </c>
      <c r="D884" s="56" t="s">
        <v>4</v>
      </c>
      <c r="E884" s="56">
        <v>45</v>
      </c>
      <c r="F884" s="57">
        <v>2225</v>
      </c>
      <c r="G884" s="58">
        <v>2.4569999999999999</v>
      </c>
      <c r="H884" s="59"/>
      <c r="I884" s="43">
        <f t="shared" si="26"/>
        <v>345500</v>
      </c>
      <c r="J884" s="49">
        <f t="shared" si="27"/>
        <v>343500</v>
      </c>
      <c r="K884" s="60">
        <v>321000</v>
      </c>
      <c r="L884" s="3"/>
    </row>
    <row r="885" spans="2:12" ht="12" customHeight="1">
      <c r="B885" s="48">
        <v>880</v>
      </c>
      <c r="C885" s="56" t="s">
        <v>236</v>
      </c>
      <c r="D885" s="56" t="s">
        <v>4</v>
      </c>
      <c r="E885" s="56">
        <v>70</v>
      </c>
      <c r="F885" s="57">
        <v>2370</v>
      </c>
      <c r="G885" s="58">
        <v>0.64</v>
      </c>
      <c r="H885" s="59" t="s">
        <v>195</v>
      </c>
      <c r="I885" s="43">
        <f t="shared" si="26"/>
        <v>345500</v>
      </c>
      <c r="J885" s="49">
        <f t="shared" si="27"/>
        <v>343500</v>
      </c>
      <c r="K885" s="60">
        <v>321000</v>
      </c>
      <c r="L885" s="3"/>
    </row>
    <row r="886" spans="2:12" ht="12" customHeight="1">
      <c r="B886" s="48">
        <v>881</v>
      </c>
      <c r="C886" s="56" t="s">
        <v>236</v>
      </c>
      <c r="D886" s="56" t="s">
        <v>4</v>
      </c>
      <c r="E886" s="56">
        <v>70</v>
      </c>
      <c r="F886" s="57">
        <v>4000</v>
      </c>
      <c r="G886" s="58">
        <f>0.222-0.105</f>
        <v>0.11700000000000001</v>
      </c>
      <c r="H886" s="59"/>
      <c r="I886" s="43">
        <f t="shared" si="26"/>
        <v>345500</v>
      </c>
      <c r="J886" s="49">
        <f t="shared" si="27"/>
        <v>343500</v>
      </c>
      <c r="K886" s="60">
        <v>321000</v>
      </c>
      <c r="L886" s="3"/>
    </row>
    <row r="887" spans="2:12" ht="12" customHeight="1">
      <c r="B887" s="48">
        <v>882</v>
      </c>
      <c r="C887" s="56" t="s">
        <v>133</v>
      </c>
      <c r="D887" s="56" t="s">
        <v>4</v>
      </c>
      <c r="E887" s="56">
        <v>56</v>
      </c>
      <c r="F887" s="57">
        <v>3270</v>
      </c>
      <c r="G887" s="58">
        <v>6.3E-2</v>
      </c>
      <c r="H887" s="59"/>
      <c r="I887" s="43">
        <f t="shared" si="26"/>
        <v>345500</v>
      </c>
      <c r="J887" s="49">
        <f t="shared" si="27"/>
        <v>343500</v>
      </c>
      <c r="K887" s="60">
        <v>321000</v>
      </c>
      <c r="L887" s="3"/>
    </row>
    <row r="888" spans="2:12" ht="12" customHeight="1">
      <c r="B888" s="48">
        <v>883</v>
      </c>
      <c r="C888" s="56" t="s">
        <v>216</v>
      </c>
      <c r="D888" s="56" t="s">
        <v>4</v>
      </c>
      <c r="E888" s="56">
        <v>40</v>
      </c>
      <c r="F888" s="57">
        <v>2855</v>
      </c>
      <c r="G888" s="58">
        <f>1.3-0.295-0.15+0.15-0.115-0.123</f>
        <v>0.76700000000000013</v>
      </c>
      <c r="H888" s="59" t="s">
        <v>195</v>
      </c>
      <c r="I888" s="43">
        <f t="shared" si="26"/>
        <v>402800</v>
      </c>
      <c r="J888" s="49">
        <f t="shared" si="27"/>
        <v>400800</v>
      </c>
      <c r="K888" s="60">
        <v>374500</v>
      </c>
      <c r="L888" s="3"/>
    </row>
    <row r="889" spans="2:12" ht="12" customHeight="1">
      <c r="B889" s="48">
        <v>884</v>
      </c>
      <c r="C889" s="56" t="s">
        <v>209</v>
      </c>
      <c r="D889" s="56" t="s">
        <v>4</v>
      </c>
      <c r="E889" s="56">
        <v>45</v>
      </c>
      <c r="F889" s="57">
        <v>1810</v>
      </c>
      <c r="G889" s="58">
        <f>0.022+0.026</f>
        <v>4.8000000000000001E-2</v>
      </c>
      <c r="H889" s="59" t="s">
        <v>195</v>
      </c>
      <c r="I889" s="43">
        <f t="shared" si="26"/>
        <v>402800</v>
      </c>
      <c r="J889" s="49">
        <f t="shared" si="27"/>
        <v>400800</v>
      </c>
      <c r="K889" s="60">
        <v>374500</v>
      </c>
      <c r="L889" s="3"/>
    </row>
    <row r="890" spans="2:12" ht="12" customHeight="1">
      <c r="B890" s="48">
        <v>885</v>
      </c>
      <c r="C890" s="56" t="s">
        <v>209</v>
      </c>
      <c r="D890" s="56" t="s">
        <v>4</v>
      </c>
      <c r="E890" s="56">
        <v>50</v>
      </c>
      <c r="F890" s="57">
        <v>3520</v>
      </c>
      <c r="G890" s="58">
        <f>0.75-0.054</f>
        <v>0.69599999999999995</v>
      </c>
      <c r="H890" s="59" t="s">
        <v>195</v>
      </c>
      <c r="I890" s="43">
        <f t="shared" si="26"/>
        <v>402800</v>
      </c>
      <c r="J890" s="49">
        <f t="shared" si="27"/>
        <v>400800</v>
      </c>
      <c r="K890" s="60">
        <v>374500</v>
      </c>
      <c r="L890" s="3"/>
    </row>
    <row r="891" spans="2:12" ht="12" customHeight="1">
      <c r="B891" s="48">
        <v>886</v>
      </c>
      <c r="C891" s="56" t="s">
        <v>209</v>
      </c>
      <c r="D891" s="56" t="s">
        <v>4</v>
      </c>
      <c r="E891" s="56">
        <v>55</v>
      </c>
      <c r="F891" s="57">
        <v>1620</v>
      </c>
      <c r="G891" s="58">
        <v>0.03</v>
      </c>
      <c r="H891" s="59" t="s">
        <v>195</v>
      </c>
      <c r="I891" s="43">
        <f t="shared" si="26"/>
        <v>402800</v>
      </c>
      <c r="J891" s="49">
        <f t="shared" si="27"/>
        <v>400800</v>
      </c>
      <c r="K891" s="60">
        <v>374500</v>
      </c>
      <c r="L891" s="3"/>
    </row>
    <row r="892" spans="2:12" ht="12" customHeight="1">
      <c r="B892" s="48">
        <v>887</v>
      </c>
      <c r="C892" s="56" t="s">
        <v>209</v>
      </c>
      <c r="D892" s="56" t="s">
        <v>4</v>
      </c>
      <c r="E892" s="80">
        <v>80</v>
      </c>
      <c r="F892" s="68">
        <v>910</v>
      </c>
      <c r="G892" s="58">
        <v>3.7999999999999999E-2</v>
      </c>
      <c r="H892" s="69" t="s">
        <v>257</v>
      </c>
      <c r="I892" s="43">
        <f t="shared" si="26"/>
        <v>402800</v>
      </c>
      <c r="J892" s="49">
        <f t="shared" si="27"/>
        <v>400800</v>
      </c>
      <c r="K892" s="60">
        <v>374500</v>
      </c>
      <c r="L892" s="5"/>
    </row>
    <row r="893" spans="2:12" ht="12" customHeight="1">
      <c r="B893" s="48">
        <v>888</v>
      </c>
      <c r="C893" s="56" t="s">
        <v>209</v>
      </c>
      <c r="D893" s="56" t="s">
        <v>4</v>
      </c>
      <c r="E893" s="80">
        <v>90</v>
      </c>
      <c r="F893" s="68">
        <v>4530</v>
      </c>
      <c r="G893" s="81">
        <f>1.915-0.153-0.189</f>
        <v>1.573</v>
      </c>
      <c r="H893" s="69" t="s">
        <v>195</v>
      </c>
      <c r="I893" s="43">
        <f t="shared" si="26"/>
        <v>402800</v>
      </c>
      <c r="J893" s="49">
        <f t="shared" si="27"/>
        <v>400800</v>
      </c>
      <c r="K893" s="60">
        <v>374500</v>
      </c>
      <c r="L893" s="3"/>
    </row>
    <row r="894" spans="2:12" ht="12" customHeight="1">
      <c r="B894" s="48">
        <v>889</v>
      </c>
      <c r="C894" s="56" t="s">
        <v>209</v>
      </c>
      <c r="D894" s="56" t="s">
        <v>4</v>
      </c>
      <c r="E894" s="80">
        <v>90</v>
      </c>
      <c r="F894" s="68">
        <v>5600</v>
      </c>
      <c r="G894" s="81">
        <v>0.84</v>
      </c>
      <c r="H894" s="69" t="s">
        <v>195</v>
      </c>
      <c r="I894" s="43">
        <f t="shared" si="26"/>
        <v>402800</v>
      </c>
      <c r="J894" s="49">
        <f t="shared" si="27"/>
        <v>400800</v>
      </c>
      <c r="K894" s="60">
        <v>374500</v>
      </c>
      <c r="L894" s="3"/>
    </row>
    <row r="895" spans="2:12" ht="12" customHeight="1">
      <c r="B895" s="48">
        <v>890</v>
      </c>
      <c r="C895" s="56" t="s">
        <v>209</v>
      </c>
      <c r="D895" s="56" t="s">
        <v>4</v>
      </c>
      <c r="E895" s="80">
        <v>98</v>
      </c>
      <c r="F895" s="68">
        <v>1253</v>
      </c>
      <c r="G895" s="81">
        <v>0.08</v>
      </c>
      <c r="H895" s="69" t="s">
        <v>257</v>
      </c>
      <c r="I895" s="43">
        <f t="shared" si="26"/>
        <v>402800</v>
      </c>
      <c r="J895" s="49">
        <f t="shared" si="27"/>
        <v>400800</v>
      </c>
      <c r="K895" s="60">
        <v>374500</v>
      </c>
      <c r="L895" s="3"/>
    </row>
    <row r="896" spans="2:12" ht="12" customHeight="1">
      <c r="B896" s="48">
        <v>891</v>
      </c>
      <c r="C896" s="56" t="s">
        <v>209</v>
      </c>
      <c r="D896" s="56" t="s">
        <v>4</v>
      </c>
      <c r="E896" s="56">
        <v>100</v>
      </c>
      <c r="F896" s="57">
        <v>800</v>
      </c>
      <c r="G896" s="58">
        <v>5.1999999999999998E-2</v>
      </c>
      <c r="H896" s="59" t="s">
        <v>195</v>
      </c>
      <c r="I896" s="43">
        <f t="shared" si="26"/>
        <v>402800</v>
      </c>
      <c r="J896" s="49">
        <f t="shared" si="27"/>
        <v>400800</v>
      </c>
      <c r="K896" s="60">
        <v>374500</v>
      </c>
      <c r="L896" s="3"/>
    </row>
    <row r="897" spans="1:12" ht="12" customHeight="1">
      <c r="B897" s="48">
        <v>892</v>
      </c>
      <c r="C897" s="56" t="s">
        <v>209</v>
      </c>
      <c r="D897" s="56" t="s">
        <v>4</v>
      </c>
      <c r="E897" s="56">
        <v>100</v>
      </c>
      <c r="F897" s="57">
        <v>1040</v>
      </c>
      <c r="G897" s="58">
        <v>0.83499999999999996</v>
      </c>
      <c r="H897" s="59" t="s">
        <v>34</v>
      </c>
      <c r="I897" s="43">
        <f t="shared" si="26"/>
        <v>402800</v>
      </c>
      <c r="J897" s="49">
        <f t="shared" si="27"/>
        <v>400800</v>
      </c>
      <c r="K897" s="60">
        <v>374500</v>
      </c>
      <c r="L897" s="3"/>
    </row>
    <row r="898" spans="1:12" ht="12" customHeight="1">
      <c r="B898" s="48">
        <v>893</v>
      </c>
      <c r="C898" s="56" t="s">
        <v>209</v>
      </c>
      <c r="D898" s="56" t="s">
        <v>4</v>
      </c>
      <c r="E898" s="56">
        <v>100</v>
      </c>
      <c r="F898" s="57">
        <v>1250</v>
      </c>
      <c r="G898" s="58">
        <v>0.08</v>
      </c>
      <c r="H898" s="59" t="s">
        <v>257</v>
      </c>
      <c r="I898" s="43">
        <f t="shared" si="26"/>
        <v>402800</v>
      </c>
      <c r="J898" s="49">
        <f t="shared" si="27"/>
        <v>400800</v>
      </c>
      <c r="K898" s="60">
        <v>374500</v>
      </c>
      <c r="L898" s="3"/>
    </row>
    <row r="899" spans="1:12" ht="12" customHeight="1">
      <c r="B899" s="48">
        <v>894</v>
      </c>
      <c r="C899" s="56" t="s">
        <v>209</v>
      </c>
      <c r="D899" s="56" t="s">
        <v>4</v>
      </c>
      <c r="E899" s="56">
        <v>100</v>
      </c>
      <c r="F899" s="57">
        <v>1280</v>
      </c>
      <c r="G899" s="58">
        <v>8.4000000000000005E-2</v>
      </c>
      <c r="H899" s="59" t="s">
        <v>257</v>
      </c>
      <c r="I899" s="43">
        <f t="shared" si="26"/>
        <v>402800</v>
      </c>
      <c r="J899" s="49">
        <f t="shared" si="27"/>
        <v>400800</v>
      </c>
      <c r="K899" s="60">
        <v>374500</v>
      </c>
      <c r="L899" s="3"/>
    </row>
    <row r="900" spans="1:12" ht="12" customHeight="1">
      <c r="B900" s="48">
        <v>895</v>
      </c>
      <c r="C900" s="56" t="s">
        <v>209</v>
      </c>
      <c r="D900" s="80" t="s">
        <v>4</v>
      </c>
      <c r="E900" s="56">
        <v>100</v>
      </c>
      <c r="F900" s="57">
        <v>2820</v>
      </c>
      <c r="G900" s="58">
        <f>0.288-0.116</f>
        <v>0.17199999999999999</v>
      </c>
      <c r="H900" s="59" t="s">
        <v>195</v>
      </c>
      <c r="I900" s="43">
        <f t="shared" si="26"/>
        <v>402800</v>
      </c>
      <c r="J900" s="49">
        <f t="shared" si="27"/>
        <v>400800</v>
      </c>
      <c r="K900" s="60">
        <v>374500</v>
      </c>
      <c r="L900" s="5"/>
    </row>
    <row r="901" spans="1:12" ht="12" customHeight="1">
      <c r="B901" s="48">
        <v>896</v>
      </c>
      <c r="C901" s="56" t="s">
        <v>209</v>
      </c>
      <c r="D901" s="80" t="s">
        <v>4</v>
      </c>
      <c r="E901" s="56">
        <v>110</v>
      </c>
      <c r="F901" s="57">
        <v>3780</v>
      </c>
      <c r="G901" s="58">
        <v>0.28100000000000003</v>
      </c>
      <c r="H901" s="59" t="s">
        <v>195</v>
      </c>
      <c r="I901" s="43">
        <f t="shared" si="26"/>
        <v>402800</v>
      </c>
      <c r="J901" s="49">
        <f t="shared" si="27"/>
        <v>400800</v>
      </c>
      <c r="K901" s="60">
        <v>374500</v>
      </c>
      <c r="L901" s="3"/>
    </row>
    <row r="902" spans="1:12" ht="12" customHeight="1">
      <c r="B902" s="48">
        <v>897</v>
      </c>
      <c r="C902" s="56" t="s">
        <v>209</v>
      </c>
      <c r="D902" s="80" t="s">
        <v>4</v>
      </c>
      <c r="E902" s="56">
        <v>120</v>
      </c>
      <c r="F902" s="57">
        <v>3930</v>
      </c>
      <c r="G902" s="58">
        <f>1.055-0.344</f>
        <v>0.71099999999999997</v>
      </c>
      <c r="H902" s="59" t="s">
        <v>195</v>
      </c>
      <c r="I902" s="43">
        <f t="shared" ref="I902:I965" si="28">J902+2000</f>
        <v>402800</v>
      </c>
      <c r="J902" s="49">
        <f t="shared" si="27"/>
        <v>400800</v>
      </c>
      <c r="K902" s="60">
        <v>374500</v>
      </c>
      <c r="L902" s="3"/>
    </row>
    <row r="903" spans="1:12" customFormat="1" ht="12" customHeight="1">
      <c r="A903" s="4"/>
      <c r="B903" s="48">
        <v>898</v>
      </c>
      <c r="C903" s="56" t="s">
        <v>209</v>
      </c>
      <c r="D903" s="80" t="s">
        <v>4</v>
      </c>
      <c r="E903" s="56">
        <v>155</v>
      </c>
      <c r="F903" s="57">
        <v>795</v>
      </c>
      <c r="G903" s="58">
        <v>0.11799999999999999</v>
      </c>
      <c r="H903" s="59" t="s">
        <v>195</v>
      </c>
      <c r="I903" s="43">
        <f t="shared" si="28"/>
        <v>402800</v>
      </c>
      <c r="J903" s="49">
        <f t="shared" ref="J903:J966" si="29">ROUNDUP(K903*1.07,-2)</f>
        <v>400800</v>
      </c>
      <c r="K903" s="60">
        <v>374500</v>
      </c>
      <c r="L903" s="3"/>
    </row>
    <row r="904" spans="1:12" customFormat="1" ht="12" customHeight="1">
      <c r="A904" s="4"/>
      <c r="B904" s="48">
        <v>899</v>
      </c>
      <c r="C904" s="56" t="s">
        <v>209</v>
      </c>
      <c r="D904" s="80" t="s">
        <v>4</v>
      </c>
      <c r="E904" s="56">
        <v>155</v>
      </c>
      <c r="F904" s="57">
        <v>865</v>
      </c>
      <c r="G904" s="58">
        <v>0.128</v>
      </c>
      <c r="H904" s="59" t="s">
        <v>195</v>
      </c>
      <c r="I904" s="43">
        <f t="shared" si="28"/>
        <v>402800</v>
      </c>
      <c r="J904" s="49">
        <f t="shared" si="29"/>
        <v>400800</v>
      </c>
      <c r="K904" s="60">
        <v>374500</v>
      </c>
    </row>
    <row r="905" spans="1:12" ht="12" customHeight="1">
      <c r="B905" s="48">
        <v>900</v>
      </c>
      <c r="C905" s="56" t="s">
        <v>134</v>
      </c>
      <c r="D905" s="56" t="s">
        <v>4</v>
      </c>
      <c r="E905" s="56">
        <v>45</v>
      </c>
      <c r="F905" s="57">
        <v>1210</v>
      </c>
      <c r="G905" s="58">
        <f>0.91-0.015-0.082-0.05-0.15-0.02</f>
        <v>0.59299999999999997</v>
      </c>
      <c r="H905" s="59" t="s">
        <v>195</v>
      </c>
      <c r="I905" s="43">
        <f t="shared" si="28"/>
        <v>402800</v>
      </c>
      <c r="J905" s="49">
        <f t="shared" si="29"/>
        <v>400800</v>
      </c>
      <c r="K905" s="60">
        <v>374500</v>
      </c>
      <c r="L905"/>
    </row>
    <row r="906" spans="1:12" ht="12" customHeight="1">
      <c r="B906" s="48">
        <v>901</v>
      </c>
      <c r="C906" s="56" t="s">
        <v>134</v>
      </c>
      <c r="D906" s="56" t="s">
        <v>4</v>
      </c>
      <c r="E906" s="56">
        <v>45</v>
      </c>
      <c r="F906" s="57">
        <v>1360</v>
      </c>
      <c r="G906" s="58">
        <f>0.235-0.036-0.015-0.024-0.07-0.015</f>
        <v>7.4999999999999997E-2</v>
      </c>
      <c r="H906" s="59" t="s">
        <v>195</v>
      </c>
      <c r="I906" s="43">
        <f t="shared" si="28"/>
        <v>402800</v>
      </c>
      <c r="J906" s="49">
        <f t="shared" si="29"/>
        <v>400800</v>
      </c>
      <c r="K906" s="60">
        <v>374500</v>
      </c>
      <c r="L906" s="3"/>
    </row>
    <row r="907" spans="1:12" ht="12" customHeight="1">
      <c r="B907" s="48">
        <v>902</v>
      </c>
      <c r="C907" s="56" t="s">
        <v>134</v>
      </c>
      <c r="D907" s="56" t="s">
        <v>4</v>
      </c>
      <c r="E907" s="56">
        <v>70</v>
      </c>
      <c r="F907" s="57">
        <v>3140</v>
      </c>
      <c r="G907" s="58">
        <f>1.694-0.21-0.295-0.094-0.2-0.096-0.105</f>
        <v>0.69400000000000006</v>
      </c>
      <c r="H907" s="59" t="s">
        <v>195</v>
      </c>
      <c r="I907" s="43">
        <f t="shared" si="28"/>
        <v>402800</v>
      </c>
      <c r="J907" s="49">
        <f t="shared" si="29"/>
        <v>400800</v>
      </c>
      <c r="K907" s="60">
        <v>374500</v>
      </c>
      <c r="L907" s="3"/>
    </row>
    <row r="908" spans="1:12" ht="12" customHeight="1">
      <c r="B908" s="48">
        <v>903</v>
      </c>
      <c r="C908" s="56" t="s">
        <v>239</v>
      </c>
      <c r="D908" s="56" t="s">
        <v>4</v>
      </c>
      <c r="E908" s="56">
        <v>80</v>
      </c>
      <c r="F908" s="57">
        <v>1510</v>
      </c>
      <c r="G908" s="58">
        <f>0.15-0.072</f>
        <v>7.8E-2</v>
      </c>
      <c r="H908" s="59" t="s">
        <v>34</v>
      </c>
      <c r="I908" s="43">
        <f t="shared" si="28"/>
        <v>402800</v>
      </c>
      <c r="J908" s="49">
        <f t="shared" si="29"/>
        <v>400800</v>
      </c>
      <c r="K908" s="60">
        <v>374500</v>
      </c>
      <c r="L908" s="3"/>
    </row>
    <row r="909" spans="1:12" ht="12" customHeight="1">
      <c r="B909" s="48">
        <v>904</v>
      </c>
      <c r="C909" s="56" t="s">
        <v>135</v>
      </c>
      <c r="D909" s="56" t="s">
        <v>4</v>
      </c>
      <c r="E909" s="56">
        <v>45</v>
      </c>
      <c r="F909" s="57">
        <v>3950</v>
      </c>
      <c r="G909" s="58">
        <f>0.09-0.041</f>
        <v>4.8999999999999995E-2</v>
      </c>
      <c r="H909" s="59" t="s">
        <v>195</v>
      </c>
      <c r="I909" s="43">
        <f t="shared" si="28"/>
        <v>253900</v>
      </c>
      <c r="J909" s="49">
        <f t="shared" si="29"/>
        <v>251900</v>
      </c>
      <c r="K909" s="60">
        <v>235400</v>
      </c>
      <c r="L909" s="3"/>
    </row>
    <row r="910" spans="1:12" ht="12" customHeight="1">
      <c r="B910" s="48">
        <v>905</v>
      </c>
      <c r="C910" s="56" t="s">
        <v>135</v>
      </c>
      <c r="D910" s="56" t="s">
        <v>4</v>
      </c>
      <c r="E910" s="56">
        <v>60</v>
      </c>
      <c r="F910" s="57">
        <v>2020</v>
      </c>
      <c r="G910" s="58">
        <v>0.48499999999999999</v>
      </c>
      <c r="H910" s="59" t="s">
        <v>195</v>
      </c>
      <c r="I910" s="43">
        <f t="shared" si="28"/>
        <v>253900</v>
      </c>
      <c r="J910" s="49">
        <f t="shared" si="29"/>
        <v>251900</v>
      </c>
      <c r="K910" s="60">
        <v>235400</v>
      </c>
      <c r="L910" s="3"/>
    </row>
    <row r="911" spans="1:12" ht="12" customHeight="1">
      <c r="B911" s="48">
        <v>906</v>
      </c>
      <c r="C911" s="56" t="s">
        <v>136</v>
      </c>
      <c r="D911" s="56" t="s">
        <v>4</v>
      </c>
      <c r="E911" s="56">
        <v>50</v>
      </c>
      <c r="F911" s="57">
        <v>5000</v>
      </c>
      <c r="G911" s="58">
        <f>0.87-0.076-0.152-0.308</f>
        <v>0.33400000000000002</v>
      </c>
      <c r="H911" s="59" t="s">
        <v>195</v>
      </c>
      <c r="I911" s="43">
        <f t="shared" si="28"/>
        <v>76500</v>
      </c>
      <c r="J911" s="49">
        <f t="shared" si="29"/>
        <v>74500</v>
      </c>
      <c r="K911" s="60">
        <v>69600</v>
      </c>
      <c r="L911" s="3"/>
    </row>
    <row r="912" spans="1:12" ht="12" customHeight="1">
      <c r="B912" s="48">
        <v>907</v>
      </c>
      <c r="C912" s="56" t="s">
        <v>136</v>
      </c>
      <c r="D912" s="56" t="s">
        <v>4</v>
      </c>
      <c r="E912" s="56">
        <v>130</v>
      </c>
      <c r="F912" s="57">
        <v>2455</v>
      </c>
      <c r="G912" s="58">
        <v>0.252</v>
      </c>
      <c r="H912" s="59" t="s">
        <v>195</v>
      </c>
      <c r="I912" s="43">
        <f t="shared" si="28"/>
        <v>76500</v>
      </c>
      <c r="J912" s="49">
        <f t="shared" si="29"/>
        <v>74500</v>
      </c>
      <c r="K912" s="60">
        <v>69600</v>
      </c>
      <c r="L912" s="3"/>
    </row>
    <row r="913" spans="2:12" ht="12" customHeight="1">
      <c r="B913" s="48">
        <v>908</v>
      </c>
      <c r="C913" s="56" t="s">
        <v>136</v>
      </c>
      <c r="D913" s="56" t="s">
        <v>4</v>
      </c>
      <c r="E913" s="56">
        <v>205</v>
      </c>
      <c r="F913" s="57">
        <v>1330</v>
      </c>
      <c r="G913" s="58">
        <v>0.35499999999999998</v>
      </c>
      <c r="H913" s="59" t="s">
        <v>6</v>
      </c>
      <c r="I913" s="43">
        <f t="shared" si="28"/>
        <v>76500</v>
      </c>
      <c r="J913" s="49">
        <f t="shared" si="29"/>
        <v>74500</v>
      </c>
      <c r="K913" s="60">
        <v>69600</v>
      </c>
      <c r="L913" s="3"/>
    </row>
    <row r="914" spans="2:12" ht="12" customHeight="1">
      <c r="B914" s="48">
        <v>909</v>
      </c>
      <c r="C914" s="56" t="s">
        <v>137</v>
      </c>
      <c r="D914" s="56" t="s">
        <v>4</v>
      </c>
      <c r="E914" s="56">
        <v>45</v>
      </c>
      <c r="F914" s="57">
        <v>2430</v>
      </c>
      <c r="G914" s="58">
        <v>0.18</v>
      </c>
      <c r="H914" s="59" t="s">
        <v>195</v>
      </c>
      <c r="I914" s="43">
        <f t="shared" si="28"/>
        <v>65100</v>
      </c>
      <c r="J914" s="49">
        <f t="shared" si="29"/>
        <v>63100</v>
      </c>
      <c r="K914" s="60">
        <v>58900</v>
      </c>
      <c r="L914" s="3"/>
    </row>
    <row r="915" spans="2:12" ht="12" customHeight="1">
      <c r="B915" s="48">
        <v>910</v>
      </c>
      <c r="C915" s="56" t="s">
        <v>276</v>
      </c>
      <c r="D915" s="56" t="s">
        <v>4</v>
      </c>
      <c r="E915" s="56">
        <v>290</v>
      </c>
      <c r="F915" s="57">
        <v>1740</v>
      </c>
      <c r="G915" s="58">
        <v>0.995</v>
      </c>
      <c r="H915" s="59" t="s">
        <v>6</v>
      </c>
      <c r="I915" s="43">
        <f t="shared" si="28"/>
        <v>116500</v>
      </c>
      <c r="J915" s="49">
        <f t="shared" si="29"/>
        <v>114500</v>
      </c>
      <c r="K915" s="60">
        <v>107000</v>
      </c>
      <c r="L915" s="3"/>
    </row>
    <row r="916" spans="2:12" ht="12" customHeight="1">
      <c r="B916" s="48">
        <v>911</v>
      </c>
      <c r="C916" s="56" t="s">
        <v>276</v>
      </c>
      <c r="D916" s="56" t="s">
        <v>4</v>
      </c>
      <c r="E916" s="56">
        <v>395</v>
      </c>
      <c r="F916" s="57">
        <v>2145</v>
      </c>
      <c r="G916" s="58">
        <v>2.14</v>
      </c>
      <c r="H916" s="59" t="s">
        <v>34</v>
      </c>
      <c r="I916" s="43">
        <f t="shared" si="28"/>
        <v>116500</v>
      </c>
      <c r="J916" s="49">
        <f t="shared" si="29"/>
        <v>114500</v>
      </c>
      <c r="K916" s="60">
        <v>107000</v>
      </c>
      <c r="L916" s="3"/>
    </row>
    <row r="917" spans="2:12" ht="12" customHeight="1">
      <c r="B917" s="48">
        <v>912</v>
      </c>
      <c r="C917" s="56" t="s">
        <v>138</v>
      </c>
      <c r="D917" s="56" t="s">
        <v>4</v>
      </c>
      <c r="E917" s="56">
        <v>150</v>
      </c>
      <c r="F917" s="57">
        <v>4050</v>
      </c>
      <c r="G917" s="58">
        <v>2.2360000000000002</v>
      </c>
      <c r="H917" s="59"/>
      <c r="I917" s="43">
        <f t="shared" si="28"/>
        <v>76500</v>
      </c>
      <c r="J917" s="49">
        <f t="shared" si="29"/>
        <v>74500</v>
      </c>
      <c r="K917" s="60">
        <v>69600</v>
      </c>
      <c r="L917" s="3"/>
    </row>
    <row r="918" spans="2:12" ht="12" customHeight="1">
      <c r="B918" s="48">
        <v>913</v>
      </c>
      <c r="C918" s="56" t="s">
        <v>139</v>
      </c>
      <c r="D918" s="56" t="s">
        <v>4</v>
      </c>
      <c r="E918" s="56">
        <v>22</v>
      </c>
      <c r="F918" s="57">
        <v>6980</v>
      </c>
      <c r="G918" s="58">
        <v>0.122</v>
      </c>
      <c r="H918" s="59"/>
      <c r="I918" s="43">
        <f t="shared" si="28"/>
        <v>65100</v>
      </c>
      <c r="J918" s="49">
        <f t="shared" si="29"/>
        <v>63100</v>
      </c>
      <c r="K918" s="60">
        <v>58900</v>
      </c>
      <c r="L918" s="3"/>
    </row>
    <row r="919" spans="2:12" ht="12" customHeight="1">
      <c r="B919" s="48">
        <v>914</v>
      </c>
      <c r="C919" s="56" t="s">
        <v>139</v>
      </c>
      <c r="D919" s="56" t="s">
        <v>4</v>
      </c>
      <c r="E919" s="56">
        <v>30</v>
      </c>
      <c r="F919" s="57">
        <v>2800</v>
      </c>
      <c r="G919" s="58">
        <v>1.4999999999999999E-2</v>
      </c>
      <c r="H919" s="59" t="s">
        <v>195</v>
      </c>
      <c r="I919" s="43">
        <f t="shared" si="28"/>
        <v>65100</v>
      </c>
      <c r="J919" s="49">
        <f t="shared" si="29"/>
        <v>63100</v>
      </c>
      <c r="K919" s="60">
        <v>58900</v>
      </c>
      <c r="L919" s="3"/>
    </row>
    <row r="920" spans="2:12" s="5" customFormat="1" ht="12" customHeight="1">
      <c r="B920" s="48">
        <v>915</v>
      </c>
      <c r="C920" s="56" t="s">
        <v>139</v>
      </c>
      <c r="D920" s="56" t="s">
        <v>4</v>
      </c>
      <c r="E920" s="56">
        <v>50</v>
      </c>
      <c r="F920" s="57">
        <v>5050</v>
      </c>
      <c r="G920" s="58">
        <v>1.675</v>
      </c>
      <c r="H920" s="59" t="s">
        <v>195</v>
      </c>
      <c r="I920" s="43">
        <f t="shared" si="28"/>
        <v>93600</v>
      </c>
      <c r="J920" s="49">
        <f t="shared" si="29"/>
        <v>91600</v>
      </c>
      <c r="K920" s="60">
        <v>85600</v>
      </c>
      <c r="L920" s="3"/>
    </row>
    <row r="921" spans="2:12" ht="12" customHeight="1">
      <c r="B921" s="48">
        <v>916</v>
      </c>
      <c r="C921" s="56" t="s">
        <v>142</v>
      </c>
      <c r="D921" s="56" t="s">
        <v>4</v>
      </c>
      <c r="E921" s="56">
        <v>20</v>
      </c>
      <c r="F921" s="57">
        <v>3000</v>
      </c>
      <c r="G921" s="58">
        <f>0.5-0.007</f>
        <v>0.49299999999999999</v>
      </c>
      <c r="H921" s="59" t="s">
        <v>195</v>
      </c>
      <c r="I921" s="43">
        <f t="shared" si="28"/>
        <v>203600</v>
      </c>
      <c r="J921" s="49">
        <f t="shared" si="29"/>
        <v>201600</v>
      </c>
      <c r="K921" s="60">
        <v>188400</v>
      </c>
      <c r="L921" s="3"/>
    </row>
    <row r="922" spans="2:12" ht="12" customHeight="1">
      <c r="B922" s="48">
        <v>917</v>
      </c>
      <c r="C922" s="56" t="s">
        <v>142</v>
      </c>
      <c r="D922" s="56" t="s">
        <v>4</v>
      </c>
      <c r="E922" s="56">
        <v>30</v>
      </c>
      <c r="F922" s="57">
        <v>3200</v>
      </c>
      <c r="G922" s="58">
        <f>0.84-0.265</f>
        <v>0.57499999999999996</v>
      </c>
      <c r="H922" s="59" t="s">
        <v>202</v>
      </c>
      <c r="I922" s="43">
        <f t="shared" si="28"/>
        <v>203600</v>
      </c>
      <c r="J922" s="49">
        <f t="shared" si="29"/>
        <v>201600</v>
      </c>
      <c r="K922" s="60">
        <v>188400</v>
      </c>
      <c r="L922" s="3"/>
    </row>
    <row r="923" spans="2:12" ht="12" customHeight="1">
      <c r="B923" s="48">
        <v>918</v>
      </c>
      <c r="C923" s="56" t="s">
        <v>142</v>
      </c>
      <c r="D923" s="56" t="s">
        <v>4</v>
      </c>
      <c r="E923" s="56">
        <v>35</v>
      </c>
      <c r="F923" s="57" t="s">
        <v>124</v>
      </c>
      <c r="G923" s="58">
        <v>0.12</v>
      </c>
      <c r="H923" s="59" t="s">
        <v>202</v>
      </c>
      <c r="I923" s="43">
        <f t="shared" si="28"/>
        <v>203600</v>
      </c>
      <c r="J923" s="49">
        <f t="shared" si="29"/>
        <v>201600</v>
      </c>
      <c r="K923" s="60">
        <v>188400</v>
      </c>
      <c r="L923" s="3"/>
    </row>
    <row r="924" spans="2:12" ht="12" customHeight="1">
      <c r="B924" s="48">
        <v>919</v>
      </c>
      <c r="C924" s="56" t="s">
        <v>142</v>
      </c>
      <c r="D924" s="56" t="s">
        <v>4</v>
      </c>
      <c r="E924" s="56">
        <v>65</v>
      </c>
      <c r="F924" s="57" t="s">
        <v>143</v>
      </c>
      <c r="G924" s="58">
        <f>1.675-0.35-0.445</f>
        <v>0.88000000000000012</v>
      </c>
      <c r="H924" s="59" t="s">
        <v>195</v>
      </c>
      <c r="I924" s="43">
        <f t="shared" si="28"/>
        <v>203600</v>
      </c>
      <c r="J924" s="49">
        <f t="shared" si="29"/>
        <v>201600</v>
      </c>
      <c r="K924" s="60">
        <v>188400</v>
      </c>
      <c r="L924" s="3"/>
    </row>
    <row r="925" spans="2:12" ht="12" customHeight="1">
      <c r="B925" s="48">
        <v>920</v>
      </c>
      <c r="C925" s="56" t="s">
        <v>142</v>
      </c>
      <c r="D925" s="56" t="s">
        <v>4</v>
      </c>
      <c r="E925" s="56">
        <v>65</v>
      </c>
      <c r="F925" s="57">
        <v>3375</v>
      </c>
      <c r="G925" s="58">
        <v>8.6999999999999994E-2</v>
      </c>
      <c r="H925" s="59" t="s">
        <v>195</v>
      </c>
      <c r="I925" s="43">
        <f t="shared" si="28"/>
        <v>203600</v>
      </c>
      <c r="J925" s="49">
        <f t="shared" si="29"/>
        <v>201600</v>
      </c>
      <c r="K925" s="60">
        <v>188400</v>
      </c>
      <c r="L925" s="3"/>
    </row>
    <row r="926" spans="2:12" ht="12" customHeight="1">
      <c r="B926" s="48">
        <v>921</v>
      </c>
      <c r="C926" s="56" t="s">
        <v>142</v>
      </c>
      <c r="D926" s="56" t="s">
        <v>4</v>
      </c>
      <c r="E926" s="56">
        <v>165</v>
      </c>
      <c r="F926" s="57">
        <v>1625</v>
      </c>
      <c r="G926" s="58">
        <v>0.28999999999999998</v>
      </c>
      <c r="H926" s="59" t="s">
        <v>195</v>
      </c>
      <c r="I926" s="43">
        <f t="shared" si="28"/>
        <v>253900</v>
      </c>
      <c r="J926" s="49">
        <f t="shared" si="29"/>
        <v>251900</v>
      </c>
      <c r="K926" s="60">
        <v>235400</v>
      </c>
      <c r="L926" s="3"/>
    </row>
    <row r="927" spans="2:12" s="2" customFormat="1" ht="12" customHeight="1">
      <c r="B927" s="48">
        <v>922</v>
      </c>
      <c r="C927" s="56" t="s">
        <v>144</v>
      </c>
      <c r="D927" s="56" t="s">
        <v>4</v>
      </c>
      <c r="E927" s="56">
        <v>25</v>
      </c>
      <c r="F927" s="57" t="s">
        <v>145</v>
      </c>
      <c r="G927" s="58">
        <v>0.76500000000000001</v>
      </c>
      <c r="H927" s="59" t="s">
        <v>195</v>
      </c>
      <c r="I927" s="43">
        <f t="shared" si="28"/>
        <v>203600</v>
      </c>
      <c r="J927" s="49">
        <f t="shared" si="29"/>
        <v>201600</v>
      </c>
      <c r="K927" s="60">
        <v>188400</v>
      </c>
      <c r="L927" s="3"/>
    </row>
    <row r="928" spans="2:12" ht="12" customHeight="1">
      <c r="B928" s="48">
        <v>923</v>
      </c>
      <c r="C928" s="56" t="s">
        <v>144</v>
      </c>
      <c r="D928" s="56" t="s">
        <v>4</v>
      </c>
      <c r="E928" s="56">
        <v>100</v>
      </c>
      <c r="F928" s="57">
        <v>3000</v>
      </c>
      <c r="G928" s="58">
        <v>0.182</v>
      </c>
      <c r="H928" s="59" t="s">
        <v>195</v>
      </c>
      <c r="I928" s="43">
        <f t="shared" si="28"/>
        <v>242500</v>
      </c>
      <c r="J928" s="49">
        <f t="shared" si="29"/>
        <v>240500</v>
      </c>
      <c r="K928" s="60">
        <v>224700</v>
      </c>
      <c r="L928" s="2"/>
    </row>
    <row r="929" spans="2:12" ht="12" customHeight="1">
      <c r="B929" s="48">
        <v>924</v>
      </c>
      <c r="C929" s="56" t="s">
        <v>146</v>
      </c>
      <c r="D929" s="56" t="s">
        <v>4</v>
      </c>
      <c r="E929" s="56">
        <v>50</v>
      </c>
      <c r="F929" s="57">
        <v>1380</v>
      </c>
      <c r="G929" s="58">
        <v>0.27</v>
      </c>
      <c r="H929" s="59" t="s">
        <v>195</v>
      </c>
      <c r="I929" s="43">
        <f t="shared" si="28"/>
        <v>213900</v>
      </c>
      <c r="J929" s="49">
        <f t="shared" si="29"/>
        <v>211900</v>
      </c>
      <c r="K929" s="60">
        <v>198000</v>
      </c>
      <c r="L929" s="3"/>
    </row>
    <row r="930" spans="2:12" ht="12" customHeight="1">
      <c r="B930" s="48">
        <v>925</v>
      </c>
      <c r="C930" s="56" t="s">
        <v>146</v>
      </c>
      <c r="D930" s="56" t="s">
        <v>4</v>
      </c>
      <c r="E930" s="56">
        <v>50</v>
      </c>
      <c r="F930" s="57">
        <v>1470</v>
      </c>
      <c r="G930" s="58">
        <f>0.022+0.026+0.028</f>
        <v>7.5999999999999998E-2</v>
      </c>
      <c r="H930" s="59" t="s">
        <v>195</v>
      </c>
      <c r="I930" s="43">
        <f t="shared" si="28"/>
        <v>213900</v>
      </c>
      <c r="J930" s="49">
        <f t="shared" si="29"/>
        <v>211900</v>
      </c>
      <c r="K930" s="60">
        <v>198000</v>
      </c>
      <c r="L930" s="3"/>
    </row>
    <row r="931" spans="2:12" ht="12" customHeight="1">
      <c r="B931" s="48">
        <v>926</v>
      </c>
      <c r="C931" s="56" t="s">
        <v>146</v>
      </c>
      <c r="D931" s="56" t="s">
        <v>4</v>
      </c>
      <c r="E931" s="56">
        <v>50</v>
      </c>
      <c r="F931" s="57">
        <v>1770</v>
      </c>
      <c r="G931" s="58">
        <f>0.027+0.027</f>
        <v>5.3999999999999999E-2</v>
      </c>
      <c r="H931" s="59" t="s">
        <v>195</v>
      </c>
      <c r="I931" s="43">
        <f t="shared" si="28"/>
        <v>213900</v>
      </c>
      <c r="J931" s="49">
        <f t="shared" si="29"/>
        <v>211900</v>
      </c>
      <c r="K931" s="60">
        <v>198000</v>
      </c>
      <c r="L931" s="5"/>
    </row>
    <row r="932" spans="2:12" ht="12" customHeight="1">
      <c r="B932" s="48">
        <v>927</v>
      </c>
      <c r="C932" s="56" t="s">
        <v>146</v>
      </c>
      <c r="D932" s="56" t="s">
        <v>4</v>
      </c>
      <c r="E932" s="56">
        <v>70</v>
      </c>
      <c r="F932" s="57">
        <v>1920</v>
      </c>
      <c r="G932" s="58">
        <f>0.12-0.058</f>
        <v>6.1999999999999993E-2</v>
      </c>
      <c r="H932" s="59" t="s">
        <v>195</v>
      </c>
      <c r="I932" s="43">
        <f t="shared" si="28"/>
        <v>213900</v>
      </c>
      <c r="J932" s="49">
        <f t="shared" si="29"/>
        <v>211900</v>
      </c>
      <c r="K932" s="60">
        <v>198000</v>
      </c>
      <c r="L932" s="3"/>
    </row>
    <row r="933" spans="2:12" ht="12" customHeight="1">
      <c r="B933" s="48">
        <v>928</v>
      </c>
      <c r="C933" s="56" t="s">
        <v>146</v>
      </c>
      <c r="D933" s="56" t="s">
        <v>4</v>
      </c>
      <c r="E933" s="56">
        <v>80</v>
      </c>
      <c r="F933" s="57">
        <v>2220</v>
      </c>
      <c r="G933" s="58">
        <f>0.655-0.087-0.27-0.2</f>
        <v>9.8000000000000032E-2</v>
      </c>
      <c r="H933" s="59" t="s">
        <v>195</v>
      </c>
      <c r="I933" s="43">
        <f t="shared" si="28"/>
        <v>213900</v>
      </c>
      <c r="J933" s="49">
        <f t="shared" si="29"/>
        <v>211900</v>
      </c>
      <c r="K933" s="60">
        <v>198000</v>
      </c>
      <c r="L933" s="3"/>
    </row>
    <row r="934" spans="2:12" ht="12" customHeight="1">
      <c r="B934" s="48">
        <v>929</v>
      </c>
      <c r="C934" s="56" t="s">
        <v>146</v>
      </c>
      <c r="D934" s="56" t="s">
        <v>4</v>
      </c>
      <c r="E934" s="56">
        <v>240</v>
      </c>
      <c r="F934" s="57">
        <v>125</v>
      </c>
      <c r="G934" s="58">
        <v>5.5E-2</v>
      </c>
      <c r="H934" s="59" t="s">
        <v>6</v>
      </c>
      <c r="I934" s="43">
        <f t="shared" si="28"/>
        <v>213900</v>
      </c>
      <c r="J934" s="49">
        <f t="shared" si="29"/>
        <v>211900</v>
      </c>
      <c r="K934" s="60">
        <v>198000</v>
      </c>
      <c r="L934" s="3"/>
    </row>
    <row r="935" spans="2:12" ht="12" customHeight="1">
      <c r="B935" s="48">
        <v>930</v>
      </c>
      <c r="C935" s="56" t="s">
        <v>146</v>
      </c>
      <c r="D935" s="56" t="s">
        <v>4</v>
      </c>
      <c r="E935" s="56">
        <v>275</v>
      </c>
      <c r="F935" s="57">
        <v>110</v>
      </c>
      <c r="G935" s="58">
        <v>0.06</v>
      </c>
      <c r="H935" s="59" t="s">
        <v>6</v>
      </c>
      <c r="I935" s="43">
        <f t="shared" si="28"/>
        <v>213900</v>
      </c>
      <c r="J935" s="49">
        <f t="shared" si="29"/>
        <v>211900</v>
      </c>
      <c r="K935" s="60">
        <v>198000</v>
      </c>
      <c r="L935" s="3"/>
    </row>
    <row r="936" spans="2:12" ht="12" customHeight="1">
      <c r="B936" s="48">
        <v>931</v>
      </c>
      <c r="C936" s="56" t="s">
        <v>146</v>
      </c>
      <c r="D936" s="56" t="s">
        <v>4</v>
      </c>
      <c r="E936" s="56">
        <v>320</v>
      </c>
      <c r="F936" s="57">
        <v>105</v>
      </c>
      <c r="G936" s="58">
        <v>0.08</v>
      </c>
      <c r="H936" s="59" t="s">
        <v>6</v>
      </c>
      <c r="I936" s="43">
        <f t="shared" si="28"/>
        <v>213900</v>
      </c>
      <c r="J936" s="49">
        <f t="shared" si="29"/>
        <v>211900</v>
      </c>
      <c r="K936" s="60">
        <v>198000</v>
      </c>
      <c r="L936" s="3"/>
    </row>
    <row r="937" spans="2:12" ht="12" customHeight="1">
      <c r="B937" s="48">
        <v>932</v>
      </c>
      <c r="C937" s="56" t="s">
        <v>146</v>
      </c>
      <c r="D937" s="56" t="s">
        <v>4</v>
      </c>
      <c r="E937" s="56">
        <v>320</v>
      </c>
      <c r="F937" s="57">
        <v>105</v>
      </c>
      <c r="G937" s="58">
        <v>0.08</v>
      </c>
      <c r="H937" s="59" t="s">
        <v>6</v>
      </c>
      <c r="I937" s="43">
        <f t="shared" si="28"/>
        <v>213900</v>
      </c>
      <c r="J937" s="49">
        <f t="shared" si="29"/>
        <v>211900</v>
      </c>
      <c r="K937" s="60">
        <v>198000</v>
      </c>
      <c r="L937" s="3"/>
    </row>
    <row r="938" spans="2:12" ht="12" customHeight="1">
      <c r="B938" s="48">
        <v>933</v>
      </c>
      <c r="C938" s="56" t="s">
        <v>146</v>
      </c>
      <c r="D938" s="56" t="s">
        <v>4</v>
      </c>
      <c r="E938" s="56">
        <v>320</v>
      </c>
      <c r="F938" s="57">
        <v>105</v>
      </c>
      <c r="G938" s="58">
        <v>0.08</v>
      </c>
      <c r="H938" s="59" t="s">
        <v>6</v>
      </c>
      <c r="I938" s="43">
        <f t="shared" si="28"/>
        <v>213900</v>
      </c>
      <c r="J938" s="49">
        <f t="shared" si="29"/>
        <v>211900</v>
      </c>
      <c r="K938" s="60">
        <v>198000</v>
      </c>
      <c r="L938" s="3"/>
    </row>
    <row r="939" spans="2:12" ht="12" customHeight="1">
      <c r="B939" s="48">
        <v>934</v>
      </c>
      <c r="C939" s="56" t="s">
        <v>146</v>
      </c>
      <c r="D939" s="56" t="s">
        <v>4</v>
      </c>
      <c r="E939" s="56">
        <v>320</v>
      </c>
      <c r="F939" s="57">
        <v>105</v>
      </c>
      <c r="G939" s="58">
        <v>7.4999999999999997E-2</v>
      </c>
      <c r="H939" s="59" t="s">
        <v>6</v>
      </c>
      <c r="I939" s="43">
        <f t="shared" si="28"/>
        <v>213900</v>
      </c>
      <c r="J939" s="49">
        <f t="shared" si="29"/>
        <v>211900</v>
      </c>
      <c r="K939" s="60">
        <v>198000</v>
      </c>
      <c r="L939" s="3"/>
    </row>
    <row r="940" spans="2:12" ht="12" customHeight="1">
      <c r="B940" s="48">
        <v>935</v>
      </c>
      <c r="C940" s="56" t="s">
        <v>146</v>
      </c>
      <c r="D940" s="56" t="s">
        <v>4</v>
      </c>
      <c r="E940" s="56">
        <v>320</v>
      </c>
      <c r="F940" s="57">
        <v>105</v>
      </c>
      <c r="G940" s="58">
        <v>0.08</v>
      </c>
      <c r="H940" s="59" t="s">
        <v>6</v>
      </c>
      <c r="I940" s="43">
        <f t="shared" si="28"/>
        <v>213900</v>
      </c>
      <c r="J940" s="49">
        <f t="shared" si="29"/>
        <v>211900</v>
      </c>
      <c r="K940" s="60">
        <v>198000</v>
      </c>
      <c r="L940" s="3"/>
    </row>
    <row r="941" spans="2:12" ht="12" customHeight="1">
      <c r="B941" s="48">
        <v>936</v>
      </c>
      <c r="C941" s="56" t="s">
        <v>146</v>
      </c>
      <c r="D941" s="56" t="s">
        <v>4</v>
      </c>
      <c r="E941" s="56">
        <v>320</v>
      </c>
      <c r="F941" s="57">
        <v>105</v>
      </c>
      <c r="G941" s="58">
        <v>7.4999999999999997E-2</v>
      </c>
      <c r="H941" s="59" t="s">
        <v>6</v>
      </c>
      <c r="I941" s="43">
        <f t="shared" si="28"/>
        <v>213900</v>
      </c>
      <c r="J941" s="49">
        <f t="shared" si="29"/>
        <v>211900</v>
      </c>
      <c r="K941" s="60">
        <v>198000</v>
      </c>
      <c r="L941" s="3"/>
    </row>
    <row r="942" spans="2:12" ht="12" customHeight="1">
      <c r="B942" s="48">
        <v>937</v>
      </c>
      <c r="C942" s="56" t="s">
        <v>146</v>
      </c>
      <c r="D942" s="56" t="s">
        <v>4</v>
      </c>
      <c r="E942" s="56">
        <v>320</v>
      </c>
      <c r="F942" s="57">
        <v>105</v>
      </c>
      <c r="G942" s="58">
        <v>0.08</v>
      </c>
      <c r="H942" s="59" t="s">
        <v>6</v>
      </c>
      <c r="I942" s="43">
        <f t="shared" si="28"/>
        <v>213900</v>
      </c>
      <c r="J942" s="49">
        <f t="shared" si="29"/>
        <v>211900</v>
      </c>
      <c r="K942" s="60">
        <v>198000</v>
      </c>
      <c r="L942" s="3"/>
    </row>
    <row r="943" spans="2:12" ht="12" customHeight="1">
      <c r="B943" s="48">
        <v>938</v>
      </c>
      <c r="C943" s="56" t="s">
        <v>146</v>
      </c>
      <c r="D943" s="56" t="s">
        <v>4</v>
      </c>
      <c r="E943" s="56">
        <v>320</v>
      </c>
      <c r="F943" s="57">
        <v>110</v>
      </c>
      <c r="G943" s="58">
        <v>0.08</v>
      </c>
      <c r="H943" s="59" t="s">
        <v>6</v>
      </c>
      <c r="I943" s="43">
        <f t="shared" si="28"/>
        <v>213900</v>
      </c>
      <c r="J943" s="49">
        <f t="shared" si="29"/>
        <v>211900</v>
      </c>
      <c r="K943" s="60">
        <v>198000</v>
      </c>
      <c r="L943" s="3"/>
    </row>
    <row r="944" spans="2:12" ht="12" customHeight="1">
      <c r="B944" s="48">
        <v>939</v>
      </c>
      <c r="C944" s="56" t="s">
        <v>146</v>
      </c>
      <c r="D944" s="56" t="s">
        <v>4</v>
      </c>
      <c r="E944" s="56">
        <v>320</v>
      </c>
      <c r="F944" s="57">
        <v>110</v>
      </c>
      <c r="G944" s="58">
        <v>8.5000000000000006E-2</v>
      </c>
      <c r="H944" s="59" t="s">
        <v>6</v>
      </c>
      <c r="I944" s="43">
        <f t="shared" si="28"/>
        <v>213900</v>
      </c>
      <c r="J944" s="49">
        <f t="shared" si="29"/>
        <v>211900</v>
      </c>
      <c r="K944" s="60">
        <v>198000</v>
      </c>
      <c r="L944" s="3"/>
    </row>
    <row r="945" spans="1:12" ht="12" customHeight="1">
      <c r="B945" s="48">
        <v>940</v>
      </c>
      <c r="C945" s="56" t="s">
        <v>146</v>
      </c>
      <c r="D945" s="56" t="s">
        <v>4</v>
      </c>
      <c r="E945" s="56">
        <v>320</v>
      </c>
      <c r="F945" s="57">
        <v>110</v>
      </c>
      <c r="G945" s="58">
        <v>0.08</v>
      </c>
      <c r="H945" s="59" t="s">
        <v>6</v>
      </c>
      <c r="I945" s="43">
        <f t="shared" si="28"/>
        <v>213900</v>
      </c>
      <c r="J945" s="49">
        <f t="shared" si="29"/>
        <v>211900</v>
      </c>
      <c r="K945" s="60">
        <v>198000</v>
      </c>
      <c r="L945" s="3"/>
    </row>
    <row r="946" spans="1:12" customFormat="1" ht="12" customHeight="1">
      <c r="A946" s="4"/>
      <c r="B946" s="48">
        <v>941</v>
      </c>
      <c r="C946" s="56" t="s">
        <v>146</v>
      </c>
      <c r="D946" s="56" t="s">
        <v>4</v>
      </c>
      <c r="E946" s="56">
        <v>320</v>
      </c>
      <c r="F946" s="57">
        <v>110</v>
      </c>
      <c r="G946" s="58">
        <v>0.08</v>
      </c>
      <c r="H946" s="59" t="s">
        <v>6</v>
      </c>
      <c r="I946" s="43">
        <f t="shared" si="28"/>
        <v>213900</v>
      </c>
      <c r="J946" s="49">
        <f t="shared" si="29"/>
        <v>211900</v>
      </c>
      <c r="K946" s="60">
        <v>198000</v>
      </c>
      <c r="L946" s="3"/>
    </row>
    <row r="947" spans="1:12" customFormat="1" ht="12" customHeight="1">
      <c r="A947" s="4"/>
      <c r="B947" s="48">
        <v>942</v>
      </c>
      <c r="C947" s="56" t="s">
        <v>146</v>
      </c>
      <c r="D947" s="56" t="s">
        <v>4</v>
      </c>
      <c r="E947" s="56">
        <v>320</v>
      </c>
      <c r="F947" s="57">
        <v>110</v>
      </c>
      <c r="G947" s="58">
        <v>0.08</v>
      </c>
      <c r="H947" s="59" t="s">
        <v>6</v>
      </c>
      <c r="I947" s="43">
        <f t="shared" si="28"/>
        <v>213900</v>
      </c>
      <c r="J947" s="49">
        <f t="shared" si="29"/>
        <v>211900</v>
      </c>
      <c r="K947" s="60">
        <v>198000</v>
      </c>
    </row>
    <row r="948" spans="1:12" ht="12" customHeight="1">
      <c r="B948" s="48">
        <v>943</v>
      </c>
      <c r="C948" s="56" t="s">
        <v>146</v>
      </c>
      <c r="D948" s="56" t="s">
        <v>4</v>
      </c>
      <c r="E948" s="56">
        <v>325</v>
      </c>
      <c r="F948" s="57">
        <v>110</v>
      </c>
      <c r="G948" s="58">
        <v>0.08</v>
      </c>
      <c r="H948" s="59" t="s">
        <v>6</v>
      </c>
      <c r="I948" s="43">
        <f t="shared" si="28"/>
        <v>213900</v>
      </c>
      <c r="J948" s="49">
        <f t="shared" si="29"/>
        <v>211900</v>
      </c>
      <c r="K948" s="60">
        <v>198000</v>
      </c>
      <c r="L948"/>
    </row>
    <row r="949" spans="1:12" ht="12" customHeight="1">
      <c r="B949" s="48">
        <v>944</v>
      </c>
      <c r="C949" s="56" t="s">
        <v>146</v>
      </c>
      <c r="D949" s="56" t="s">
        <v>4</v>
      </c>
      <c r="E949" s="56">
        <v>325</v>
      </c>
      <c r="F949" s="57">
        <v>110</v>
      </c>
      <c r="G949" s="58">
        <v>0.08</v>
      </c>
      <c r="H949" s="59" t="s">
        <v>6</v>
      </c>
      <c r="I949" s="43">
        <f t="shared" si="28"/>
        <v>213900</v>
      </c>
      <c r="J949" s="49">
        <f t="shared" si="29"/>
        <v>211900</v>
      </c>
      <c r="K949" s="60">
        <v>198000</v>
      </c>
      <c r="L949" s="3"/>
    </row>
    <row r="950" spans="1:12" ht="12" customHeight="1">
      <c r="B950" s="48">
        <v>945</v>
      </c>
      <c r="C950" s="56" t="s">
        <v>146</v>
      </c>
      <c r="D950" s="56" t="s">
        <v>4</v>
      </c>
      <c r="E950" s="56">
        <v>400</v>
      </c>
      <c r="F950" s="57">
        <v>130</v>
      </c>
      <c r="G950" s="58">
        <v>0.16400000000000001</v>
      </c>
      <c r="H950" s="59" t="s">
        <v>6</v>
      </c>
      <c r="I950" s="43">
        <f t="shared" si="28"/>
        <v>213900</v>
      </c>
      <c r="J950" s="49">
        <f t="shared" si="29"/>
        <v>211900</v>
      </c>
      <c r="K950" s="60">
        <v>198000</v>
      </c>
      <c r="L950" s="3"/>
    </row>
    <row r="951" spans="1:12" ht="12" customHeight="1">
      <c r="B951" s="48">
        <v>946</v>
      </c>
      <c r="C951" s="56" t="s">
        <v>146</v>
      </c>
      <c r="D951" s="56" t="s">
        <v>4</v>
      </c>
      <c r="E951" s="56">
        <v>400</v>
      </c>
      <c r="F951" s="57">
        <v>150</v>
      </c>
      <c r="G951" s="58">
        <v>0.16</v>
      </c>
      <c r="H951" s="59" t="s">
        <v>6</v>
      </c>
      <c r="I951" s="43">
        <f t="shared" si="28"/>
        <v>213900</v>
      </c>
      <c r="J951" s="49">
        <f t="shared" si="29"/>
        <v>211900</v>
      </c>
      <c r="K951" s="60">
        <v>198000</v>
      </c>
      <c r="L951" s="3"/>
    </row>
    <row r="952" spans="1:12" ht="12" customHeight="1">
      <c r="B952" s="48">
        <v>947</v>
      </c>
      <c r="C952" s="56" t="s">
        <v>146</v>
      </c>
      <c r="D952" s="56" t="s">
        <v>4</v>
      </c>
      <c r="E952" s="56">
        <v>400</v>
      </c>
      <c r="F952" s="57">
        <v>150</v>
      </c>
      <c r="G952" s="58">
        <v>0.16200000000000001</v>
      </c>
      <c r="H952" s="59" t="s">
        <v>6</v>
      </c>
      <c r="I952" s="43">
        <f t="shared" si="28"/>
        <v>213900</v>
      </c>
      <c r="J952" s="49">
        <f t="shared" si="29"/>
        <v>211900</v>
      </c>
      <c r="K952" s="60">
        <v>198000</v>
      </c>
      <c r="L952" s="3"/>
    </row>
    <row r="953" spans="1:12" ht="12" customHeight="1">
      <c r="B953" s="48">
        <v>948</v>
      </c>
      <c r="C953" s="56" t="s">
        <v>146</v>
      </c>
      <c r="D953" s="56" t="s">
        <v>4</v>
      </c>
      <c r="E953" s="56">
        <v>400</v>
      </c>
      <c r="F953" s="57">
        <v>150</v>
      </c>
      <c r="G953" s="58">
        <v>0.16600000000000001</v>
      </c>
      <c r="H953" s="59" t="s">
        <v>6</v>
      </c>
      <c r="I953" s="43">
        <f t="shared" si="28"/>
        <v>213900</v>
      </c>
      <c r="J953" s="49">
        <f t="shared" si="29"/>
        <v>211900</v>
      </c>
      <c r="K953" s="60">
        <v>198000</v>
      </c>
      <c r="L953" s="3"/>
    </row>
    <row r="954" spans="1:12" s="13" customFormat="1" ht="12" customHeight="1">
      <c r="B954" s="48">
        <v>949</v>
      </c>
      <c r="C954" s="56" t="s">
        <v>146</v>
      </c>
      <c r="D954" s="56" t="s">
        <v>4</v>
      </c>
      <c r="E954" s="56">
        <v>400</v>
      </c>
      <c r="F954" s="57">
        <v>150</v>
      </c>
      <c r="G954" s="58">
        <v>0.16500000000000001</v>
      </c>
      <c r="H954" s="59" t="s">
        <v>6</v>
      </c>
      <c r="I954" s="43">
        <f t="shared" si="28"/>
        <v>213900</v>
      </c>
      <c r="J954" s="49">
        <f t="shared" si="29"/>
        <v>211900</v>
      </c>
      <c r="K954" s="60">
        <v>198000</v>
      </c>
      <c r="L954" s="3"/>
    </row>
    <row r="955" spans="1:12" s="2" customFormat="1" ht="12" customHeight="1">
      <c r="B955" s="48">
        <v>950</v>
      </c>
      <c r="C955" s="56" t="s">
        <v>146</v>
      </c>
      <c r="D955" s="56" t="s">
        <v>4</v>
      </c>
      <c r="E955" s="56">
        <v>400</v>
      </c>
      <c r="F955" s="57">
        <v>155</v>
      </c>
      <c r="G955" s="58">
        <v>0.16400000000000001</v>
      </c>
      <c r="H955" s="59" t="s">
        <v>6</v>
      </c>
      <c r="I955" s="43">
        <f t="shared" si="28"/>
        <v>213900</v>
      </c>
      <c r="J955" s="49">
        <f t="shared" si="29"/>
        <v>211900</v>
      </c>
      <c r="K955" s="60">
        <v>198000</v>
      </c>
      <c r="L955" s="13"/>
    </row>
    <row r="956" spans="1:12" ht="12" customHeight="1">
      <c r="B956" s="48">
        <v>951</v>
      </c>
      <c r="C956" s="56" t="s">
        <v>146</v>
      </c>
      <c r="D956" s="56" t="s">
        <v>4</v>
      </c>
      <c r="E956" s="56">
        <v>480</v>
      </c>
      <c r="F956" s="57">
        <v>200</v>
      </c>
      <c r="G956" s="58">
        <v>0.3</v>
      </c>
      <c r="H956" s="59" t="s">
        <v>6</v>
      </c>
      <c r="I956" s="43">
        <f t="shared" si="28"/>
        <v>213900</v>
      </c>
      <c r="J956" s="49">
        <f t="shared" si="29"/>
        <v>211900</v>
      </c>
      <c r="K956" s="60">
        <v>198000</v>
      </c>
      <c r="L956" s="2"/>
    </row>
    <row r="957" spans="1:12" ht="12" customHeight="1">
      <c r="B957" s="48">
        <v>952</v>
      </c>
      <c r="C957" s="56" t="s">
        <v>146</v>
      </c>
      <c r="D957" s="56" t="s">
        <v>4</v>
      </c>
      <c r="E957" s="56">
        <v>480</v>
      </c>
      <c r="F957" s="57">
        <v>200</v>
      </c>
      <c r="G957" s="58">
        <v>0.3</v>
      </c>
      <c r="H957" s="59" t="s">
        <v>6</v>
      </c>
      <c r="I957" s="43">
        <f t="shared" si="28"/>
        <v>213900</v>
      </c>
      <c r="J957" s="49">
        <f t="shared" si="29"/>
        <v>211900</v>
      </c>
      <c r="K957" s="60">
        <v>198000</v>
      </c>
      <c r="L957" s="3"/>
    </row>
    <row r="958" spans="1:12" ht="12" customHeight="1">
      <c r="B958" s="48">
        <v>953</v>
      </c>
      <c r="C958" s="56" t="s">
        <v>146</v>
      </c>
      <c r="D958" s="56" t="s">
        <v>4</v>
      </c>
      <c r="E958" s="56">
        <v>480</v>
      </c>
      <c r="F958" s="57">
        <v>200</v>
      </c>
      <c r="G958" s="58">
        <v>0.3</v>
      </c>
      <c r="H958" s="59" t="s">
        <v>6</v>
      </c>
      <c r="I958" s="43">
        <f t="shared" si="28"/>
        <v>213900</v>
      </c>
      <c r="J958" s="49">
        <f t="shared" si="29"/>
        <v>211900</v>
      </c>
      <c r="K958" s="60">
        <v>198000</v>
      </c>
      <c r="L958" s="3"/>
    </row>
    <row r="959" spans="1:12" s="2" customFormat="1" ht="12" customHeight="1">
      <c r="B959" s="48">
        <v>954</v>
      </c>
      <c r="C959" s="56" t="s">
        <v>146</v>
      </c>
      <c r="D959" s="56" t="s">
        <v>4</v>
      </c>
      <c r="E959" s="56">
        <v>500</v>
      </c>
      <c r="F959" s="57">
        <v>55</v>
      </c>
      <c r="G959" s="58">
        <v>0.105</v>
      </c>
      <c r="H959" s="59" t="s">
        <v>6</v>
      </c>
      <c r="I959" s="43">
        <f t="shared" si="28"/>
        <v>213900</v>
      </c>
      <c r="J959" s="49">
        <f t="shared" si="29"/>
        <v>211900</v>
      </c>
      <c r="K959" s="60">
        <v>198000</v>
      </c>
      <c r="L959" s="3"/>
    </row>
    <row r="960" spans="1:12" ht="12" customHeight="1">
      <c r="B960" s="48">
        <v>955</v>
      </c>
      <c r="C960" s="56" t="s">
        <v>146</v>
      </c>
      <c r="D960" s="56" t="s">
        <v>4</v>
      </c>
      <c r="E960" s="56">
        <v>500</v>
      </c>
      <c r="F960" s="57">
        <v>55</v>
      </c>
      <c r="G960" s="58">
        <v>0.105</v>
      </c>
      <c r="H960" s="59" t="s">
        <v>6</v>
      </c>
      <c r="I960" s="43">
        <f t="shared" si="28"/>
        <v>213900</v>
      </c>
      <c r="J960" s="49">
        <f t="shared" si="29"/>
        <v>211900</v>
      </c>
      <c r="K960" s="60">
        <v>198000</v>
      </c>
      <c r="L960" s="2"/>
    </row>
    <row r="961" spans="1:12" ht="12" customHeight="1">
      <c r="B961" s="48">
        <v>956</v>
      </c>
      <c r="C961" s="56" t="s">
        <v>146</v>
      </c>
      <c r="D961" s="56" t="s">
        <v>4</v>
      </c>
      <c r="E961" s="56">
        <v>500</v>
      </c>
      <c r="F961" s="57">
        <v>55</v>
      </c>
      <c r="G961" s="58">
        <v>0.105</v>
      </c>
      <c r="H961" s="59" t="s">
        <v>6</v>
      </c>
      <c r="I961" s="43">
        <f t="shared" si="28"/>
        <v>213900</v>
      </c>
      <c r="J961" s="49">
        <f t="shared" si="29"/>
        <v>211900</v>
      </c>
      <c r="K961" s="60">
        <v>198000</v>
      </c>
      <c r="L961" s="3"/>
    </row>
    <row r="962" spans="1:12" ht="12" customHeight="1">
      <c r="B962" s="48">
        <v>957</v>
      </c>
      <c r="C962" s="56" t="s">
        <v>146</v>
      </c>
      <c r="D962" s="56" t="s">
        <v>4</v>
      </c>
      <c r="E962" s="56">
        <v>500</v>
      </c>
      <c r="F962" s="57">
        <v>55</v>
      </c>
      <c r="G962" s="58">
        <v>0.105</v>
      </c>
      <c r="H962" s="59" t="s">
        <v>6</v>
      </c>
      <c r="I962" s="43">
        <f t="shared" si="28"/>
        <v>213900</v>
      </c>
      <c r="J962" s="49">
        <f t="shared" si="29"/>
        <v>211900</v>
      </c>
      <c r="K962" s="60">
        <v>198000</v>
      </c>
      <c r="L962" s="3"/>
    </row>
    <row r="963" spans="1:12" ht="12" customHeight="1">
      <c r="B963" s="48">
        <v>958</v>
      </c>
      <c r="C963" s="56" t="s">
        <v>146</v>
      </c>
      <c r="D963" s="56" t="s">
        <v>4</v>
      </c>
      <c r="E963" s="56">
        <v>500</v>
      </c>
      <c r="F963" s="57">
        <v>55</v>
      </c>
      <c r="G963" s="58">
        <v>0.105</v>
      </c>
      <c r="H963" s="59" t="s">
        <v>6</v>
      </c>
      <c r="I963" s="43">
        <f t="shared" si="28"/>
        <v>213900</v>
      </c>
      <c r="J963" s="49">
        <f t="shared" si="29"/>
        <v>211900</v>
      </c>
      <c r="K963" s="60">
        <v>198000</v>
      </c>
      <c r="L963" s="3"/>
    </row>
    <row r="964" spans="1:12" ht="12" customHeight="1">
      <c r="B964" s="48">
        <v>959</v>
      </c>
      <c r="C964" s="56" t="s">
        <v>146</v>
      </c>
      <c r="D964" s="56" t="s">
        <v>4</v>
      </c>
      <c r="E964" s="56">
        <v>500</v>
      </c>
      <c r="F964" s="57">
        <v>110</v>
      </c>
      <c r="G964" s="58">
        <v>0.20499999999999999</v>
      </c>
      <c r="H964" s="59" t="s">
        <v>6</v>
      </c>
      <c r="I964" s="43">
        <f t="shared" si="28"/>
        <v>213900</v>
      </c>
      <c r="J964" s="49">
        <f t="shared" si="29"/>
        <v>211900</v>
      </c>
      <c r="K964" s="60">
        <v>198000</v>
      </c>
      <c r="L964" s="3"/>
    </row>
    <row r="965" spans="1:12" customFormat="1" ht="12" customHeight="1">
      <c r="A965" s="4"/>
      <c r="B965" s="48">
        <v>960</v>
      </c>
      <c r="C965" s="56" t="s">
        <v>146</v>
      </c>
      <c r="D965" s="56" t="s">
        <v>4</v>
      </c>
      <c r="E965" s="56">
        <v>500</v>
      </c>
      <c r="F965" s="57">
        <v>110</v>
      </c>
      <c r="G965" s="58">
        <v>0.21</v>
      </c>
      <c r="H965" s="59" t="s">
        <v>6</v>
      </c>
      <c r="I965" s="43">
        <f t="shared" si="28"/>
        <v>213900</v>
      </c>
      <c r="J965" s="49">
        <f t="shared" si="29"/>
        <v>211900</v>
      </c>
      <c r="K965" s="60">
        <v>198000</v>
      </c>
      <c r="L965" s="3"/>
    </row>
    <row r="966" spans="1:12" ht="12" customHeight="1">
      <c r="B966" s="48">
        <v>961</v>
      </c>
      <c r="C966" s="56" t="s">
        <v>146</v>
      </c>
      <c r="D966" s="56" t="s">
        <v>4</v>
      </c>
      <c r="E966" s="56">
        <v>500</v>
      </c>
      <c r="F966" s="57">
        <v>110</v>
      </c>
      <c r="G966" s="58">
        <v>0.21</v>
      </c>
      <c r="H966" s="59" t="s">
        <v>6</v>
      </c>
      <c r="I966" s="43">
        <f t="shared" ref="I966:I1029" si="30">J966+2000</f>
        <v>213900</v>
      </c>
      <c r="J966" s="49">
        <f t="shared" si="29"/>
        <v>211900</v>
      </c>
      <c r="K966" s="60">
        <v>198000</v>
      </c>
      <c r="L966"/>
    </row>
    <row r="967" spans="1:12" ht="12" customHeight="1">
      <c r="B967" s="48">
        <v>962</v>
      </c>
      <c r="C967" s="56" t="s">
        <v>146</v>
      </c>
      <c r="D967" s="56" t="s">
        <v>4</v>
      </c>
      <c r="E967" s="56">
        <v>505</v>
      </c>
      <c r="F967" s="57">
        <v>105</v>
      </c>
      <c r="G967" s="58">
        <v>0.19500000000000001</v>
      </c>
      <c r="H967" s="59" t="s">
        <v>6</v>
      </c>
      <c r="I967" s="43">
        <f t="shared" si="30"/>
        <v>213900</v>
      </c>
      <c r="J967" s="49">
        <f t="shared" ref="J967:J1030" si="31">ROUNDUP(K967*1.07,-2)</f>
        <v>211900</v>
      </c>
      <c r="K967" s="60">
        <v>198000</v>
      </c>
      <c r="L967" s="3"/>
    </row>
    <row r="968" spans="1:12" ht="12" customHeight="1">
      <c r="B968" s="48">
        <v>963</v>
      </c>
      <c r="C968" s="56" t="s">
        <v>146</v>
      </c>
      <c r="D968" s="56" t="s">
        <v>4</v>
      </c>
      <c r="E968" s="56">
        <v>505</v>
      </c>
      <c r="F968" s="57">
        <v>110</v>
      </c>
      <c r="G968" s="58">
        <v>0.19500000000000001</v>
      </c>
      <c r="H968" s="59" t="s">
        <v>6</v>
      </c>
      <c r="I968" s="43">
        <f t="shared" si="30"/>
        <v>213900</v>
      </c>
      <c r="J968" s="49">
        <f t="shared" si="31"/>
        <v>211900</v>
      </c>
      <c r="K968" s="60">
        <v>198000</v>
      </c>
      <c r="L968" s="3"/>
    </row>
    <row r="969" spans="1:12" ht="12" customHeight="1">
      <c r="B969" s="48">
        <v>964</v>
      </c>
      <c r="C969" s="56" t="s">
        <v>146</v>
      </c>
      <c r="D969" s="56" t="s">
        <v>4</v>
      </c>
      <c r="E969" s="56">
        <v>510</v>
      </c>
      <c r="F969" s="57">
        <v>90</v>
      </c>
      <c r="G969" s="58">
        <v>0.17499999999999999</v>
      </c>
      <c r="H969" s="59" t="s">
        <v>6</v>
      </c>
      <c r="I969" s="43">
        <f t="shared" si="30"/>
        <v>213900</v>
      </c>
      <c r="J969" s="49">
        <f t="shared" si="31"/>
        <v>211900</v>
      </c>
      <c r="K969" s="60">
        <v>198000</v>
      </c>
      <c r="L969" s="3"/>
    </row>
    <row r="970" spans="1:12" ht="12" customHeight="1">
      <c r="B970" s="48">
        <v>965</v>
      </c>
      <c r="C970" s="56" t="s">
        <v>146</v>
      </c>
      <c r="D970" s="56" t="s">
        <v>4</v>
      </c>
      <c r="E970" s="56">
        <v>510</v>
      </c>
      <c r="F970" s="57">
        <v>90</v>
      </c>
      <c r="G970" s="58">
        <v>0.18</v>
      </c>
      <c r="H970" s="59" t="s">
        <v>6</v>
      </c>
      <c r="I970" s="43">
        <f t="shared" si="30"/>
        <v>213900</v>
      </c>
      <c r="J970" s="49">
        <f t="shared" si="31"/>
        <v>211900</v>
      </c>
      <c r="K970" s="60">
        <v>198000</v>
      </c>
      <c r="L970" s="5"/>
    </row>
    <row r="971" spans="1:12" ht="12" customHeight="1">
      <c r="B971" s="48">
        <v>966</v>
      </c>
      <c r="C971" s="56" t="s">
        <v>146</v>
      </c>
      <c r="D971" s="56" t="s">
        <v>4</v>
      </c>
      <c r="E971" s="56">
        <v>510</v>
      </c>
      <c r="F971" s="57">
        <v>90</v>
      </c>
      <c r="G971" s="58">
        <v>0.17499999999999999</v>
      </c>
      <c r="H971" s="59" t="s">
        <v>6</v>
      </c>
      <c r="I971" s="43">
        <f t="shared" si="30"/>
        <v>213900</v>
      </c>
      <c r="J971" s="49">
        <f t="shared" si="31"/>
        <v>211900</v>
      </c>
      <c r="K971" s="60">
        <v>198000</v>
      </c>
      <c r="L971" s="3"/>
    </row>
    <row r="972" spans="1:12" ht="12" customHeight="1">
      <c r="B972" s="48">
        <v>967</v>
      </c>
      <c r="C972" s="56" t="s">
        <v>146</v>
      </c>
      <c r="D972" s="56" t="s">
        <v>4</v>
      </c>
      <c r="E972" s="56">
        <v>510</v>
      </c>
      <c r="F972" s="57">
        <v>100</v>
      </c>
      <c r="G972" s="58">
        <v>0.2</v>
      </c>
      <c r="H972" s="59" t="s">
        <v>6</v>
      </c>
      <c r="I972" s="43">
        <f t="shared" si="30"/>
        <v>213900</v>
      </c>
      <c r="J972" s="49">
        <f t="shared" si="31"/>
        <v>211900</v>
      </c>
      <c r="K972" s="60">
        <v>198000</v>
      </c>
      <c r="L972" s="3"/>
    </row>
    <row r="973" spans="1:12" ht="12" customHeight="1">
      <c r="B973" s="48">
        <v>968</v>
      </c>
      <c r="C973" s="56" t="s">
        <v>146</v>
      </c>
      <c r="D973" s="56" t="s">
        <v>4</v>
      </c>
      <c r="E973" s="56">
        <v>510</v>
      </c>
      <c r="F973" s="57">
        <v>110</v>
      </c>
      <c r="G973" s="58">
        <v>0.20499999999999999</v>
      </c>
      <c r="H973" s="59" t="s">
        <v>6</v>
      </c>
      <c r="I973" s="43">
        <f t="shared" si="30"/>
        <v>213900</v>
      </c>
      <c r="J973" s="49">
        <f t="shared" si="31"/>
        <v>211900</v>
      </c>
      <c r="K973" s="60">
        <v>198000</v>
      </c>
      <c r="L973" s="3"/>
    </row>
    <row r="974" spans="1:12" ht="12" customHeight="1">
      <c r="B974" s="48">
        <v>969</v>
      </c>
      <c r="C974" s="56" t="s">
        <v>146</v>
      </c>
      <c r="D974" s="56" t="s">
        <v>4</v>
      </c>
      <c r="E974" s="56">
        <v>510</v>
      </c>
      <c r="F974" s="57">
        <v>110</v>
      </c>
      <c r="G974" s="58">
        <v>0.2</v>
      </c>
      <c r="H974" s="59" t="s">
        <v>6</v>
      </c>
      <c r="I974" s="43">
        <f t="shared" si="30"/>
        <v>213900</v>
      </c>
      <c r="J974" s="49">
        <f t="shared" si="31"/>
        <v>211900</v>
      </c>
      <c r="K974" s="60">
        <v>198000</v>
      </c>
      <c r="L974" s="3"/>
    </row>
    <row r="975" spans="1:12" ht="12" customHeight="1">
      <c r="B975" s="48">
        <v>970</v>
      </c>
      <c r="C975" s="56" t="s">
        <v>146</v>
      </c>
      <c r="D975" s="56" t="s">
        <v>4</v>
      </c>
      <c r="E975" s="56">
        <v>510</v>
      </c>
      <c r="F975" s="57">
        <v>120</v>
      </c>
      <c r="G975" s="58">
        <v>0.20499999999999999</v>
      </c>
      <c r="H975" s="59" t="s">
        <v>6</v>
      </c>
      <c r="I975" s="43">
        <f t="shared" si="30"/>
        <v>213900</v>
      </c>
      <c r="J975" s="49">
        <f t="shared" si="31"/>
        <v>211900</v>
      </c>
      <c r="K975" s="60">
        <v>198000</v>
      </c>
      <c r="L975" s="3"/>
    </row>
    <row r="976" spans="1:12" ht="12" customHeight="1">
      <c r="B976" s="48">
        <v>971</v>
      </c>
      <c r="C976" s="56" t="s">
        <v>146</v>
      </c>
      <c r="D976" s="56" t="s">
        <v>4</v>
      </c>
      <c r="E976" s="56">
        <v>515</v>
      </c>
      <c r="F976" s="57">
        <v>55</v>
      </c>
      <c r="G976" s="58">
        <v>0.11</v>
      </c>
      <c r="H976" s="59" t="s">
        <v>6</v>
      </c>
      <c r="I976" s="43">
        <f t="shared" si="30"/>
        <v>213900</v>
      </c>
      <c r="J976" s="49">
        <f t="shared" si="31"/>
        <v>211900</v>
      </c>
      <c r="K976" s="60">
        <v>198000</v>
      </c>
      <c r="L976" s="3"/>
    </row>
    <row r="977" spans="2:12" ht="12" customHeight="1">
      <c r="B977" s="48">
        <v>972</v>
      </c>
      <c r="C977" s="56" t="s">
        <v>146</v>
      </c>
      <c r="D977" s="56" t="s">
        <v>4</v>
      </c>
      <c r="E977" s="56">
        <v>515</v>
      </c>
      <c r="F977" s="57">
        <v>85</v>
      </c>
      <c r="G977" s="58">
        <v>0.18</v>
      </c>
      <c r="H977" s="59" t="s">
        <v>6</v>
      </c>
      <c r="I977" s="43">
        <f t="shared" si="30"/>
        <v>213900</v>
      </c>
      <c r="J977" s="49">
        <f t="shared" si="31"/>
        <v>211900</v>
      </c>
      <c r="K977" s="60">
        <v>198000</v>
      </c>
      <c r="L977" s="3"/>
    </row>
    <row r="978" spans="2:12" ht="12" customHeight="1">
      <c r="B978" s="48">
        <v>973</v>
      </c>
      <c r="C978" s="56" t="s">
        <v>146</v>
      </c>
      <c r="D978" s="56" t="s">
        <v>4</v>
      </c>
      <c r="E978" s="56">
        <v>515</v>
      </c>
      <c r="F978" s="57">
        <v>110</v>
      </c>
      <c r="G978" s="58">
        <v>0.20499999999999999</v>
      </c>
      <c r="H978" s="59" t="s">
        <v>6</v>
      </c>
      <c r="I978" s="43">
        <f t="shared" si="30"/>
        <v>213900</v>
      </c>
      <c r="J978" s="49">
        <f t="shared" si="31"/>
        <v>211900</v>
      </c>
      <c r="K978" s="60">
        <v>198000</v>
      </c>
      <c r="L978" s="3"/>
    </row>
    <row r="979" spans="2:12" ht="12" customHeight="1">
      <c r="B979" s="48">
        <v>974</v>
      </c>
      <c r="C979" s="56" t="s">
        <v>146</v>
      </c>
      <c r="D979" s="56" t="s">
        <v>4</v>
      </c>
      <c r="E979" s="56">
        <v>515</v>
      </c>
      <c r="F979" s="57">
        <v>110</v>
      </c>
      <c r="G979" s="58">
        <v>0.20499999999999999</v>
      </c>
      <c r="H979" s="59" t="s">
        <v>6</v>
      </c>
      <c r="I979" s="43">
        <f t="shared" si="30"/>
        <v>213900</v>
      </c>
      <c r="J979" s="49">
        <f t="shared" si="31"/>
        <v>211900</v>
      </c>
      <c r="K979" s="60">
        <v>198000</v>
      </c>
      <c r="L979" s="3"/>
    </row>
    <row r="980" spans="2:12" ht="12" customHeight="1">
      <c r="B980" s="48">
        <v>975</v>
      </c>
      <c r="C980" s="56" t="s">
        <v>146</v>
      </c>
      <c r="D980" s="56" t="s">
        <v>4</v>
      </c>
      <c r="E980" s="56">
        <v>530</v>
      </c>
      <c r="F980" s="57">
        <v>110</v>
      </c>
      <c r="G980" s="58">
        <v>0.2</v>
      </c>
      <c r="H980" s="59" t="s">
        <v>6</v>
      </c>
      <c r="I980" s="43">
        <f t="shared" si="30"/>
        <v>213900</v>
      </c>
      <c r="J980" s="49">
        <f t="shared" si="31"/>
        <v>211900</v>
      </c>
      <c r="K980" s="60">
        <v>198000</v>
      </c>
      <c r="L980" s="3"/>
    </row>
    <row r="981" spans="2:12" ht="12" customHeight="1">
      <c r="B981" s="48">
        <v>976</v>
      </c>
      <c r="C981" s="56" t="s">
        <v>146</v>
      </c>
      <c r="D981" s="56" t="s">
        <v>4</v>
      </c>
      <c r="E981" s="56">
        <v>530</v>
      </c>
      <c r="F981" s="57">
        <v>90</v>
      </c>
      <c r="G981" s="58">
        <v>0.17499999999999999</v>
      </c>
      <c r="H981" s="59" t="s">
        <v>6</v>
      </c>
      <c r="I981" s="43">
        <f t="shared" si="30"/>
        <v>213900</v>
      </c>
      <c r="J981" s="49">
        <f t="shared" si="31"/>
        <v>211900</v>
      </c>
      <c r="K981" s="60">
        <v>198000</v>
      </c>
      <c r="L981" s="3"/>
    </row>
    <row r="982" spans="2:12" ht="12" customHeight="1">
      <c r="B982" s="48">
        <v>977</v>
      </c>
      <c r="C982" s="56" t="s">
        <v>146</v>
      </c>
      <c r="D982" s="56" t="s">
        <v>4</v>
      </c>
      <c r="E982" s="56">
        <v>540</v>
      </c>
      <c r="F982" s="57">
        <v>90</v>
      </c>
      <c r="G982" s="58">
        <v>0.2</v>
      </c>
      <c r="H982" s="59" t="s">
        <v>6</v>
      </c>
      <c r="I982" s="43">
        <f t="shared" si="30"/>
        <v>213900</v>
      </c>
      <c r="J982" s="49">
        <f t="shared" si="31"/>
        <v>211900</v>
      </c>
      <c r="K982" s="60">
        <v>198000</v>
      </c>
      <c r="L982" s="3"/>
    </row>
    <row r="983" spans="2:12" ht="12" customHeight="1">
      <c r="B983" s="48">
        <v>978</v>
      </c>
      <c r="C983" s="56" t="s">
        <v>146</v>
      </c>
      <c r="D983" s="56" t="s">
        <v>4</v>
      </c>
      <c r="E983" s="56">
        <v>540</v>
      </c>
      <c r="F983" s="57">
        <v>40</v>
      </c>
      <c r="G983" s="58">
        <v>8.5000000000000006E-2</v>
      </c>
      <c r="H983" s="59" t="s">
        <v>6</v>
      </c>
      <c r="I983" s="43">
        <f t="shared" si="30"/>
        <v>213900</v>
      </c>
      <c r="J983" s="49">
        <f t="shared" si="31"/>
        <v>211900</v>
      </c>
      <c r="K983" s="60">
        <v>198000</v>
      </c>
      <c r="L983" s="3"/>
    </row>
    <row r="984" spans="2:12" ht="12" customHeight="1">
      <c r="B984" s="48">
        <v>979</v>
      </c>
      <c r="C984" s="56" t="s">
        <v>146</v>
      </c>
      <c r="D984" s="56" t="s">
        <v>4</v>
      </c>
      <c r="E984" s="56">
        <v>540</v>
      </c>
      <c r="F984" s="57">
        <v>100</v>
      </c>
      <c r="G984" s="58">
        <v>0.20499999999999999</v>
      </c>
      <c r="H984" s="59" t="s">
        <v>6</v>
      </c>
      <c r="I984" s="43">
        <f t="shared" si="30"/>
        <v>213900</v>
      </c>
      <c r="J984" s="49">
        <f t="shared" si="31"/>
        <v>211900</v>
      </c>
      <c r="K984" s="60">
        <v>198000</v>
      </c>
      <c r="L984" s="3"/>
    </row>
    <row r="985" spans="2:12" ht="12" customHeight="1">
      <c r="B985" s="48">
        <v>980</v>
      </c>
      <c r="C985" s="56" t="s">
        <v>146</v>
      </c>
      <c r="D985" s="56" t="s">
        <v>4</v>
      </c>
      <c r="E985" s="56">
        <v>545</v>
      </c>
      <c r="F985" s="57">
        <v>110</v>
      </c>
      <c r="G985" s="58">
        <v>0.20499999999999999</v>
      </c>
      <c r="H985" s="59" t="s">
        <v>6</v>
      </c>
      <c r="I985" s="43">
        <f t="shared" si="30"/>
        <v>213900</v>
      </c>
      <c r="J985" s="49">
        <f t="shared" si="31"/>
        <v>211900</v>
      </c>
      <c r="K985" s="60">
        <v>198000</v>
      </c>
      <c r="L985" s="3"/>
    </row>
    <row r="986" spans="2:12" ht="12" customHeight="1">
      <c r="B986" s="48">
        <v>981</v>
      </c>
      <c r="C986" s="56" t="s">
        <v>147</v>
      </c>
      <c r="D986" s="56" t="s">
        <v>4</v>
      </c>
      <c r="E986" s="56">
        <v>30</v>
      </c>
      <c r="F986" s="57">
        <v>3185</v>
      </c>
      <c r="G986" s="58">
        <f>0.539-0.006-0.017-0.2-0.035-0.017-0.052</f>
        <v>0.21200000000000002</v>
      </c>
      <c r="H986" s="59" t="s">
        <v>195</v>
      </c>
      <c r="I986" s="43">
        <f t="shared" si="30"/>
        <v>191000</v>
      </c>
      <c r="J986" s="49">
        <f t="shared" si="31"/>
        <v>189000</v>
      </c>
      <c r="K986" s="60">
        <v>176600</v>
      </c>
      <c r="L986" s="3"/>
    </row>
    <row r="987" spans="2:12" ht="12" customHeight="1">
      <c r="B987" s="48">
        <v>982</v>
      </c>
      <c r="C987" s="56" t="s">
        <v>147</v>
      </c>
      <c r="D987" s="56" t="s">
        <v>4</v>
      </c>
      <c r="E987" s="56">
        <v>30</v>
      </c>
      <c r="F987" s="57">
        <v>2020</v>
      </c>
      <c r="G987" s="58">
        <v>1.69</v>
      </c>
      <c r="H987" s="59" t="s">
        <v>195</v>
      </c>
      <c r="I987" s="43">
        <f t="shared" si="30"/>
        <v>191000</v>
      </c>
      <c r="J987" s="49">
        <f t="shared" si="31"/>
        <v>189000</v>
      </c>
      <c r="K987" s="60">
        <v>176600</v>
      </c>
      <c r="L987" s="3"/>
    </row>
    <row r="988" spans="2:12" ht="12" customHeight="1">
      <c r="B988" s="48">
        <v>983</v>
      </c>
      <c r="C988" s="56" t="s">
        <v>147</v>
      </c>
      <c r="D988" s="56" t="s">
        <v>4</v>
      </c>
      <c r="E988" s="56">
        <v>32</v>
      </c>
      <c r="F988" s="57">
        <v>3020</v>
      </c>
      <c r="G988" s="58">
        <f>0.019+0.019+0.019</f>
        <v>5.6999999999999995E-2</v>
      </c>
      <c r="H988" s="59" t="s">
        <v>195</v>
      </c>
      <c r="I988" s="43">
        <f t="shared" si="30"/>
        <v>191000</v>
      </c>
      <c r="J988" s="49">
        <f t="shared" si="31"/>
        <v>189000</v>
      </c>
      <c r="K988" s="60">
        <v>176600</v>
      </c>
      <c r="L988" s="3"/>
    </row>
    <row r="989" spans="2:12" ht="12" customHeight="1">
      <c r="B989" s="48">
        <v>984</v>
      </c>
      <c r="C989" s="56" t="s">
        <v>147</v>
      </c>
      <c r="D989" s="56" t="s">
        <v>4</v>
      </c>
      <c r="E989" s="56">
        <v>40</v>
      </c>
      <c r="F989" s="57">
        <v>1360</v>
      </c>
      <c r="G989" s="58">
        <f>0.013+0.014+0.014</f>
        <v>4.1000000000000002E-2</v>
      </c>
      <c r="H989" s="59" t="s">
        <v>195</v>
      </c>
      <c r="I989" s="43">
        <f t="shared" si="30"/>
        <v>191000</v>
      </c>
      <c r="J989" s="49">
        <f t="shared" si="31"/>
        <v>189000</v>
      </c>
      <c r="K989" s="60">
        <v>176600</v>
      </c>
      <c r="L989" s="3"/>
    </row>
    <row r="990" spans="2:12" ht="12" customHeight="1">
      <c r="B990" s="48">
        <v>985</v>
      </c>
      <c r="C990" s="56" t="s">
        <v>147</v>
      </c>
      <c r="D990" s="56" t="s">
        <v>4</v>
      </c>
      <c r="E990" s="56">
        <v>40</v>
      </c>
      <c r="F990" s="57">
        <v>1420</v>
      </c>
      <c r="G990" s="58">
        <v>0.28999999999999998</v>
      </c>
      <c r="H990" s="59" t="s">
        <v>195</v>
      </c>
      <c r="I990" s="43">
        <f t="shared" si="30"/>
        <v>191000</v>
      </c>
      <c r="J990" s="49">
        <f t="shared" si="31"/>
        <v>189000</v>
      </c>
      <c r="K990" s="60">
        <v>176600</v>
      </c>
      <c r="L990" s="3"/>
    </row>
    <row r="991" spans="2:12" ht="12" customHeight="1">
      <c r="B991" s="48">
        <v>986</v>
      </c>
      <c r="C991" s="56" t="s">
        <v>147</v>
      </c>
      <c r="D991" s="56" t="s">
        <v>4</v>
      </c>
      <c r="E991" s="56">
        <v>40</v>
      </c>
      <c r="F991" s="57">
        <v>1535</v>
      </c>
      <c r="G991" s="58">
        <f>0.015+0.015+0.016+0.018</f>
        <v>6.4000000000000001E-2</v>
      </c>
      <c r="H991" s="59" t="s">
        <v>195</v>
      </c>
      <c r="I991" s="43">
        <f t="shared" si="30"/>
        <v>191000</v>
      </c>
      <c r="J991" s="49">
        <f t="shared" si="31"/>
        <v>189000</v>
      </c>
      <c r="K991" s="60">
        <v>176600</v>
      </c>
      <c r="L991" s="3"/>
    </row>
    <row r="992" spans="2:12" ht="12" customHeight="1">
      <c r="B992" s="48">
        <v>987</v>
      </c>
      <c r="C992" s="56" t="s">
        <v>147</v>
      </c>
      <c r="D992" s="56" t="s">
        <v>4</v>
      </c>
      <c r="E992" s="56">
        <v>45</v>
      </c>
      <c r="F992" s="57">
        <v>2215</v>
      </c>
      <c r="G992" s="58">
        <v>0.107</v>
      </c>
      <c r="H992" s="59" t="s">
        <v>195</v>
      </c>
      <c r="I992" s="43">
        <f t="shared" si="30"/>
        <v>191000</v>
      </c>
      <c r="J992" s="49">
        <f t="shared" si="31"/>
        <v>189000</v>
      </c>
      <c r="K992" s="60">
        <v>176600</v>
      </c>
      <c r="L992" s="3"/>
    </row>
    <row r="993" spans="2:12" ht="12" customHeight="1">
      <c r="B993" s="48">
        <v>988</v>
      </c>
      <c r="C993" s="56" t="s">
        <v>147</v>
      </c>
      <c r="D993" s="56" t="s">
        <v>4</v>
      </c>
      <c r="E993" s="56">
        <v>60</v>
      </c>
      <c r="F993" s="57">
        <v>1340</v>
      </c>
      <c r="G993" s="58">
        <f>0.029+0.03+0.037</f>
        <v>9.6000000000000002E-2</v>
      </c>
      <c r="H993" s="59" t="s">
        <v>195</v>
      </c>
      <c r="I993" s="43">
        <f t="shared" si="30"/>
        <v>191000</v>
      </c>
      <c r="J993" s="49">
        <f t="shared" si="31"/>
        <v>189000</v>
      </c>
      <c r="K993" s="60">
        <v>176600</v>
      </c>
      <c r="L993" s="3"/>
    </row>
    <row r="994" spans="2:12" ht="12" customHeight="1">
      <c r="B994" s="48">
        <v>989</v>
      </c>
      <c r="C994" s="56" t="s">
        <v>147</v>
      </c>
      <c r="D994" s="56" t="s">
        <v>4</v>
      </c>
      <c r="E994" s="56">
        <v>60</v>
      </c>
      <c r="F994" s="57">
        <v>2280</v>
      </c>
      <c r="G994" s="58">
        <f>0.775-0.158-0.05-0.067</f>
        <v>0.49999999999999994</v>
      </c>
      <c r="H994" s="59" t="s">
        <v>195</v>
      </c>
      <c r="I994" s="43">
        <f t="shared" si="30"/>
        <v>191000</v>
      </c>
      <c r="J994" s="49">
        <f t="shared" si="31"/>
        <v>189000</v>
      </c>
      <c r="K994" s="60">
        <v>176600</v>
      </c>
      <c r="L994" s="3"/>
    </row>
    <row r="995" spans="2:12" ht="12" customHeight="1">
      <c r="B995" s="48">
        <v>990</v>
      </c>
      <c r="C995" s="56" t="s">
        <v>147</v>
      </c>
      <c r="D995" s="56" t="s">
        <v>4</v>
      </c>
      <c r="E995" s="56">
        <v>79</v>
      </c>
      <c r="F995" s="57">
        <v>1530</v>
      </c>
      <c r="G995" s="58">
        <f>0.057+0.057+0.058+0.066-0.057-0.057</f>
        <v>0.12400000000000003</v>
      </c>
      <c r="H995" s="59" t="s">
        <v>195</v>
      </c>
      <c r="I995" s="43">
        <f t="shared" si="30"/>
        <v>191000</v>
      </c>
      <c r="J995" s="49">
        <f t="shared" si="31"/>
        <v>189000</v>
      </c>
      <c r="K995" s="60">
        <v>176600</v>
      </c>
      <c r="L995" s="3"/>
    </row>
    <row r="996" spans="2:12" ht="12" customHeight="1">
      <c r="B996" s="48">
        <v>991</v>
      </c>
      <c r="C996" s="56" t="s">
        <v>147</v>
      </c>
      <c r="D996" s="56" t="s">
        <v>4</v>
      </c>
      <c r="E996" s="56">
        <v>375</v>
      </c>
      <c r="F996" s="57">
        <v>120</v>
      </c>
      <c r="G996" s="58">
        <v>0.12</v>
      </c>
      <c r="H996" s="59" t="s">
        <v>34</v>
      </c>
      <c r="I996" s="43">
        <f t="shared" si="30"/>
        <v>213900</v>
      </c>
      <c r="J996" s="49">
        <f t="shared" si="31"/>
        <v>211900</v>
      </c>
      <c r="K996" s="60">
        <v>198000</v>
      </c>
      <c r="L996" s="3"/>
    </row>
    <row r="997" spans="2:12" ht="12" customHeight="1">
      <c r="B997" s="48">
        <v>992</v>
      </c>
      <c r="C997" s="56" t="s">
        <v>147</v>
      </c>
      <c r="D997" s="56" t="s">
        <v>4</v>
      </c>
      <c r="E997" s="56">
        <v>375</v>
      </c>
      <c r="F997" s="57">
        <v>125</v>
      </c>
      <c r="G997" s="58">
        <v>0.125</v>
      </c>
      <c r="H997" s="59" t="s">
        <v>34</v>
      </c>
      <c r="I997" s="43">
        <f t="shared" si="30"/>
        <v>213900</v>
      </c>
      <c r="J997" s="49">
        <f t="shared" si="31"/>
        <v>211900</v>
      </c>
      <c r="K997" s="60">
        <v>198000</v>
      </c>
      <c r="L997" s="3"/>
    </row>
    <row r="998" spans="2:12" ht="12" customHeight="1">
      <c r="B998" s="48">
        <v>993</v>
      </c>
      <c r="C998" s="56" t="s">
        <v>147</v>
      </c>
      <c r="D998" s="56" t="s">
        <v>4</v>
      </c>
      <c r="E998" s="56">
        <v>375</v>
      </c>
      <c r="F998" s="57">
        <v>130</v>
      </c>
      <c r="G998" s="58">
        <v>0.12</v>
      </c>
      <c r="H998" s="59" t="s">
        <v>34</v>
      </c>
      <c r="I998" s="43">
        <f t="shared" si="30"/>
        <v>213900</v>
      </c>
      <c r="J998" s="49">
        <f t="shared" si="31"/>
        <v>211900</v>
      </c>
      <c r="K998" s="60">
        <v>198000</v>
      </c>
      <c r="L998" s="3"/>
    </row>
    <row r="999" spans="2:12" ht="12" customHeight="1">
      <c r="B999" s="48">
        <v>994</v>
      </c>
      <c r="C999" s="56" t="s">
        <v>147</v>
      </c>
      <c r="D999" s="56" t="s">
        <v>4</v>
      </c>
      <c r="E999" s="56">
        <v>375</v>
      </c>
      <c r="F999" s="57">
        <v>130</v>
      </c>
      <c r="G999" s="58">
        <v>0.12</v>
      </c>
      <c r="H999" s="59" t="s">
        <v>34</v>
      </c>
      <c r="I999" s="43">
        <f t="shared" si="30"/>
        <v>213900</v>
      </c>
      <c r="J999" s="49">
        <f t="shared" si="31"/>
        <v>211900</v>
      </c>
      <c r="K999" s="60">
        <v>198000</v>
      </c>
      <c r="L999" s="3"/>
    </row>
    <row r="1000" spans="2:12" ht="12" customHeight="1">
      <c r="B1000" s="48">
        <v>995</v>
      </c>
      <c r="C1000" s="56" t="s">
        <v>147</v>
      </c>
      <c r="D1000" s="56" t="s">
        <v>4</v>
      </c>
      <c r="E1000" s="56">
        <v>380</v>
      </c>
      <c r="F1000" s="57">
        <v>120</v>
      </c>
      <c r="G1000" s="58">
        <v>0.125</v>
      </c>
      <c r="H1000" s="59" t="s">
        <v>34</v>
      </c>
      <c r="I1000" s="43">
        <f t="shared" si="30"/>
        <v>213900</v>
      </c>
      <c r="J1000" s="49">
        <f t="shared" si="31"/>
        <v>211900</v>
      </c>
      <c r="K1000" s="60">
        <v>198000</v>
      </c>
      <c r="L1000" s="3"/>
    </row>
    <row r="1001" spans="2:12" ht="12" customHeight="1">
      <c r="B1001" s="48">
        <v>996</v>
      </c>
      <c r="C1001" s="56" t="s">
        <v>147</v>
      </c>
      <c r="D1001" s="56" t="s">
        <v>4</v>
      </c>
      <c r="E1001" s="56">
        <v>385</v>
      </c>
      <c r="F1001" s="57">
        <v>125</v>
      </c>
      <c r="G1001" s="58">
        <v>0.125</v>
      </c>
      <c r="H1001" s="59" t="s">
        <v>34</v>
      </c>
      <c r="I1001" s="43">
        <f t="shared" si="30"/>
        <v>213900</v>
      </c>
      <c r="J1001" s="49">
        <f t="shared" si="31"/>
        <v>211900</v>
      </c>
      <c r="K1001" s="60">
        <v>198000</v>
      </c>
      <c r="L1001" s="5"/>
    </row>
    <row r="1002" spans="2:12" ht="12" customHeight="1">
      <c r="B1002" s="48">
        <v>997</v>
      </c>
      <c r="C1002" s="56" t="s">
        <v>147</v>
      </c>
      <c r="D1002" s="56" t="s">
        <v>4</v>
      </c>
      <c r="E1002" s="56">
        <v>385</v>
      </c>
      <c r="F1002" s="57">
        <v>125</v>
      </c>
      <c r="G1002" s="58">
        <v>0.12</v>
      </c>
      <c r="H1002" s="59" t="s">
        <v>6</v>
      </c>
      <c r="I1002" s="43">
        <f t="shared" si="30"/>
        <v>213900</v>
      </c>
      <c r="J1002" s="49">
        <f t="shared" si="31"/>
        <v>211900</v>
      </c>
      <c r="K1002" s="60">
        <v>198000</v>
      </c>
      <c r="L1002" s="3"/>
    </row>
    <row r="1003" spans="2:12" ht="12" customHeight="1">
      <c r="B1003" s="48">
        <v>998</v>
      </c>
      <c r="C1003" s="56" t="s">
        <v>147</v>
      </c>
      <c r="D1003" s="56" t="s">
        <v>4</v>
      </c>
      <c r="E1003" s="56">
        <v>385</v>
      </c>
      <c r="F1003" s="57">
        <v>125</v>
      </c>
      <c r="G1003" s="58">
        <v>0.12</v>
      </c>
      <c r="H1003" s="59" t="s">
        <v>6</v>
      </c>
      <c r="I1003" s="43">
        <f t="shared" si="30"/>
        <v>213900</v>
      </c>
      <c r="J1003" s="49">
        <f t="shared" si="31"/>
        <v>211900</v>
      </c>
      <c r="K1003" s="60">
        <v>198000</v>
      </c>
      <c r="L1003" s="5"/>
    </row>
    <row r="1004" spans="2:12" ht="12" customHeight="1">
      <c r="B1004" s="48">
        <v>999</v>
      </c>
      <c r="C1004" s="56" t="s">
        <v>147</v>
      </c>
      <c r="D1004" s="56" t="s">
        <v>4</v>
      </c>
      <c r="E1004" s="56">
        <v>385</v>
      </c>
      <c r="F1004" s="57">
        <v>125</v>
      </c>
      <c r="G1004" s="58">
        <v>0.12</v>
      </c>
      <c r="H1004" s="59" t="s">
        <v>6</v>
      </c>
      <c r="I1004" s="43">
        <f t="shared" si="30"/>
        <v>213900</v>
      </c>
      <c r="J1004" s="49">
        <f t="shared" si="31"/>
        <v>211900</v>
      </c>
      <c r="K1004" s="60">
        <v>198000</v>
      </c>
      <c r="L1004" s="3"/>
    </row>
    <row r="1005" spans="2:12" ht="12" customHeight="1">
      <c r="B1005" s="48">
        <v>1000</v>
      </c>
      <c r="C1005" s="56" t="s">
        <v>147</v>
      </c>
      <c r="D1005" s="56" t="s">
        <v>4</v>
      </c>
      <c r="E1005" s="56">
        <v>390</v>
      </c>
      <c r="F1005" s="57">
        <v>120</v>
      </c>
      <c r="G1005" s="58">
        <v>0.115</v>
      </c>
      <c r="H1005" s="59" t="s">
        <v>34</v>
      </c>
      <c r="I1005" s="43">
        <f t="shared" si="30"/>
        <v>213900</v>
      </c>
      <c r="J1005" s="49">
        <f t="shared" si="31"/>
        <v>211900</v>
      </c>
      <c r="K1005" s="60">
        <v>198000</v>
      </c>
      <c r="L1005" s="3"/>
    </row>
    <row r="1006" spans="2:12" ht="12" customHeight="1">
      <c r="B1006" s="48">
        <v>1001</v>
      </c>
      <c r="C1006" s="56" t="s">
        <v>147</v>
      </c>
      <c r="D1006" s="56" t="s">
        <v>4</v>
      </c>
      <c r="E1006" s="56">
        <v>390</v>
      </c>
      <c r="F1006" s="57">
        <v>120</v>
      </c>
      <c r="G1006" s="58">
        <v>0.125</v>
      </c>
      <c r="H1006" s="59" t="s">
        <v>34</v>
      </c>
      <c r="I1006" s="43">
        <f t="shared" si="30"/>
        <v>213900</v>
      </c>
      <c r="J1006" s="49">
        <f t="shared" si="31"/>
        <v>211900</v>
      </c>
      <c r="K1006" s="60">
        <v>198000</v>
      </c>
      <c r="L1006" s="3"/>
    </row>
    <row r="1007" spans="2:12" ht="12" customHeight="1">
      <c r="B1007" s="48">
        <v>1002</v>
      </c>
      <c r="C1007" s="56" t="s">
        <v>147</v>
      </c>
      <c r="D1007" s="56" t="s">
        <v>4</v>
      </c>
      <c r="E1007" s="56">
        <v>395</v>
      </c>
      <c r="F1007" s="57">
        <v>120</v>
      </c>
      <c r="G1007" s="58">
        <v>0.125</v>
      </c>
      <c r="H1007" s="59" t="s">
        <v>6</v>
      </c>
      <c r="I1007" s="43">
        <f t="shared" si="30"/>
        <v>213900</v>
      </c>
      <c r="J1007" s="49">
        <f t="shared" si="31"/>
        <v>211900</v>
      </c>
      <c r="K1007" s="60">
        <v>198000</v>
      </c>
      <c r="L1007" s="3"/>
    </row>
    <row r="1008" spans="2:12" ht="12" customHeight="1">
      <c r="B1008" s="48">
        <v>1003</v>
      </c>
      <c r="C1008" s="56" t="s">
        <v>147</v>
      </c>
      <c r="D1008" s="56" t="s">
        <v>4</v>
      </c>
      <c r="E1008" s="56">
        <v>395</v>
      </c>
      <c r="F1008" s="57">
        <v>120</v>
      </c>
      <c r="G1008" s="58">
        <v>0.12</v>
      </c>
      <c r="H1008" s="59" t="s">
        <v>6</v>
      </c>
      <c r="I1008" s="43">
        <f t="shared" si="30"/>
        <v>213900</v>
      </c>
      <c r="J1008" s="49">
        <f t="shared" si="31"/>
        <v>211900</v>
      </c>
      <c r="K1008" s="60">
        <v>198000</v>
      </c>
      <c r="L1008" s="3"/>
    </row>
    <row r="1009" spans="2:12" ht="12" customHeight="1">
      <c r="B1009" s="48">
        <v>1004</v>
      </c>
      <c r="C1009" s="56" t="s">
        <v>147</v>
      </c>
      <c r="D1009" s="56" t="s">
        <v>4</v>
      </c>
      <c r="E1009" s="56">
        <v>590</v>
      </c>
      <c r="F1009" s="57">
        <v>85</v>
      </c>
      <c r="G1009" s="58">
        <v>0.22</v>
      </c>
      <c r="H1009" s="59" t="s">
        <v>6</v>
      </c>
      <c r="I1009" s="43">
        <f t="shared" si="30"/>
        <v>213900</v>
      </c>
      <c r="J1009" s="49">
        <f t="shared" si="31"/>
        <v>211900</v>
      </c>
      <c r="K1009" s="60">
        <v>198000</v>
      </c>
      <c r="L1009" s="3"/>
    </row>
    <row r="1010" spans="2:12" ht="12" customHeight="1">
      <c r="B1010" s="48">
        <v>1005</v>
      </c>
      <c r="C1010" s="56" t="s">
        <v>147</v>
      </c>
      <c r="D1010" s="56" t="s">
        <v>4</v>
      </c>
      <c r="E1010" s="56">
        <v>640</v>
      </c>
      <c r="F1010" s="57">
        <v>100</v>
      </c>
      <c r="G1010" s="58">
        <v>0.28000000000000003</v>
      </c>
      <c r="H1010" s="59" t="s">
        <v>6</v>
      </c>
      <c r="I1010" s="43">
        <f t="shared" si="30"/>
        <v>213900</v>
      </c>
      <c r="J1010" s="49">
        <f t="shared" si="31"/>
        <v>211900</v>
      </c>
      <c r="K1010" s="60">
        <v>198000</v>
      </c>
      <c r="L1010" s="3"/>
    </row>
    <row r="1011" spans="2:12" s="2" customFormat="1" ht="12" customHeight="1">
      <c r="B1011" s="48">
        <v>1006</v>
      </c>
      <c r="C1011" s="56" t="s">
        <v>147</v>
      </c>
      <c r="D1011" s="56" t="s">
        <v>4</v>
      </c>
      <c r="E1011" s="56">
        <v>800</v>
      </c>
      <c r="F1011" s="57">
        <v>200</v>
      </c>
      <c r="G1011" s="58">
        <v>0.8</v>
      </c>
      <c r="H1011" s="59" t="s">
        <v>54</v>
      </c>
      <c r="I1011" s="43">
        <f t="shared" si="30"/>
        <v>213900</v>
      </c>
      <c r="J1011" s="49">
        <f t="shared" si="31"/>
        <v>211900</v>
      </c>
      <c r="K1011" s="60">
        <v>198000</v>
      </c>
    </row>
    <row r="1012" spans="2:12" ht="12" customHeight="1">
      <c r="B1012" s="48">
        <v>1007</v>
      </c>
      <c r="C1012" s="56" t="s">
        <v>147</v>
      </c>
      <c r="D1012" s="56" t="s">
        <v>4</v>
      </c>
      <c r="E1012" s="56">
        <v>820</v>
      </c>
      <c r="F1012" s="57">
        <v>100</v>
      </c>
      <c r="G1012" s="58">
        <v>0.60499999999999998</v>
      </c>
      <c r="H1012" s="59" t="s">
        <v>6</v>
      </c>
      <c r="I1012" s="43">
        <f t="shared" si="30"/>
        <v>213900</v>
      </c>
      <c r="J1012" s="49">
        <f t="shared" si="31"/>
        <v>211900</v>
      </c>
      <c r="K1012" s="60">
        <v>198000</v>
      </c>
      <c r="L1012" s="5"/>
    </row>
    <row r="1013" spans="2:12" ht="12" customHeight="1">
      <c r="B1013" s="48">
        <v>1008</v>
      </c>
      <c r="C1013" s="56" t="s">
        <v>147</v>
      </c>
      <c r="D1013" s="56" t="s">
        <v>4</v>
      </c>
      <c r="E1013" s="56">
        <v>870</v>
      </c>
      <c r="F1013" s="57">
        <v>80</v>
      </c>
      <c r="G1013" s="58">
        <v>0.57799999999999996</v>
      </c>
      <c r="H1013" s="59" t="s">
        <v>6</v>
      </c>
      <c r="I1013" s="43">
        <f t="shared" si="30"/>
        <v>213900</v>
      </c>
      <c r="J1013" s="49">
        <f t="shared" si="31"/>
        <v>211900</v>
      </c>
      <c r="K1013" s="60">
        <v>198000</v>
      </c>
      <c r="L1013" s="3"/>
    </row>
    <row r="1014" spans="2:12" ht="12" customHeight="1">
      <c r="B1014" s="48">
        <v>1009</v>
      </c>
      <c r="C1014" s="56" t="s">
        <v>148</v>
      </c>
      <c r="D1014" s="56" t="s">
        <v>4</v>
      </c>
      <c r="E1014" s="56">
        <v>40</v>
      </c>
      <c r="F1014" s="57">
        <v>5000</v>
      </c>
      <c r="G1014" s="58">
        <f>1.115-0.05-0.1-0.93</f>
        <v>3.499999999999992E-2</v>
      </c>
      <c r="H1014" s="78" t="s">
        <v>195</v>
      </c>
      <c r="I1014" s="43">
        <f t="shared" si="30"/>
        <v>93600</v>
      </c>
      <c r="J1014" s="49">
        <f t="shared" si="31"/>
        <v>91600</v>
      </c>
      <c r="K1014" s="60">
        <v>85600</v>
      </c>
      <c r="L1014" s="3"/>
    </row>
    <row r="1015" spans="2:12" ht="12" customHeight="1">
      <c r="B1015" s="48">
        <v>1010</v>
      </c>
      <c r="C1015" s="56" t="s">
        <v>148</v>
      </c>
      <c r="D1015" s="56" t="s">
        <v>4</v>
      </c>
      <c r="E1015" s="56">
        <v>48</v>
      </c>
      <c r="F1015" s="57">
        <v>3360</v>
      </c>
      <c r="G1015" s="58">
        <v>4.7E-2</v>
      </c>
      <c r="H1015" s="59" t="s">
        <v>195</v>
      </c>
      <c r="I1015" s="43">
        <f t="shared" si="30"/>
        <v>70700</v>
      </c>
      <c r="J1015" s="49">
        <f t="shared" si="31"/>
        <v>68700</v>
      </c>
      <c r="K1015" s="60">
        <v>64200</v>
      </c>
      <c r="L1015" s="3"/>
    </row>
    <row r="1016" spans="2:12" ht="12" customHeight="1">
      <c r="B1016" s="48">
        <v>1011</v>
      </c>
      <c r="C1016" s="56" t="s">
        <v>148</v>
      </c>
      <c r="D1016" s="56" t="s">
        <v>4</v>
      </c>
      <c r="E1016" s="56">
        <v>48</v>
      </c>
      <c r="F1016" s="57">
        <v>3200</v>
      </c>
      <c r="G1016" s="58">
        <v>4.4999999999999998E-2</v>
      </c>
      <c r="H1016" s="59" t="s">
        <v>195</v>
      </c>
      <c r="I1016" s="43">
        <f t="shared" si="30"/>
        <v>70700</v>
      </c>
      <c r="J1016" s="49">
        <f t="shared" si="31"/>
        <v>68700</v>
      </c>
      <c r="K1016" s="60">
        <v>64200</v>
      </c>
      <c r="L1016"/>
    </row>
    <row r="1017" spans="2:12" ht="12" customHeight="1">
      <c r="B1017" s="48">
        <v>1012</v>
      </c>
      <c r="C1017" s="56" t="s">
        <v>149</v>
      </c>
      <c r="D1017" s="56" t="s">
        <v>4</v>
      </c>
      <c r="E1017" s="56">
        <v>75</v>
      </c>
      <c r="F1017" s="57">
        <v>1885</v>
      </c>
      <c r="G1017" s="58">
        <v>6.5000000000000002E-2</v>
      </c>
      <c r="H1017" s="59" t="s">
        <v>195</v>
      </c>
      <c r="I1017" s="43">
        <f t="shared" si="30"/>
        <v>93600</v>
      </c>
      <c r="J1017" s="49">
        <f t="shared" si="31"/>
        <v>91600</v>
      </c>
      <c r="K1017" s="60">
        <v>85600</v>
      </c>
      <c r="L1017" s="3"/>
    </row>
    <row r="1018" spans="2:12" ht="12" customHeight="1">
      <c r="B1018" s="48">
        <v>1013</v>
      </c>
      <c r="C1018" s="56" t="s">
        <v>291</v>
      </c>
      <c r="D1018" s="56" t="s">
        <v>4</v>
      </c>
      <c r="E1018" s="56">
        <v>197</v>
      </c>
      <c r="F1018" s="57">
        <v>1245</v>
      </c>
      <c r="G1018" s="58">
        <v>0.32</v>
      </c>
      <c r="H1018" s="59" t="s">
        <v>6</v>
      </c>
      <c r="I1018" s="43">
        <f t="shared" si="30"/>
        <v>99400</v>
      </c>
      <c r="J1018" s="49">
        <f t="shared" si="31"/>
        <v>97400</v>
      </c>
      <c r="K1018" s="60">
        <v>91000</v>
      </c>
      <c r="L1018" s="3"/>
    </row>
    <row r="1019" spans="2:12" ht="12" customHeight="1">
      <c r="B1019" s="48">
        <v>1014</v>
      </c>
      <c r="C1019" s="56" t="s">
        <v>291</v>
      </c>
      <c r="D1019" s="56" t="s">
        <v>4</v>
      </c>
      <c r="E1019" s="56">
        <v>205</v>
      </c>
      <c r="F1019" s="57">
        <v>1245</v>
      </c>
      <c r="G1019" s="58">
        <v>0.35</v>
      </c>
      <c r="H1019" s="59" t="s">
        <v>6</v>
      </c>
      <c r="I1019" s="43">
        <f t="shared" si="30"/>
        <v>99400</v>
      </c>
      <c r="J1019" s="49">
        <f t="shared" si="31"/>
        <v>97400</v>
      </c>
      <c r="K1019" s="60">
        <v>91000</v>
      </c>
      <c r="L1019" s="3"/>
    </row>
    <row r="1020" spans="2:12" ht="12" customHeight="1">
      <c r="B1020" s="48">
        <v>1015</v>
      </c>
      <c r="C1020" s="56" t="s">
        <v>150</v>
      </c>
      <c r="D1020" s="56" t="s">
        <v>4</v>
      </c>
      <c r="E1020" s="56">
        <v>280</v>
      </c>
      <c r="F1020" s="57">
        <v>100</v>
      </c>
      <c r="G1020" s="58">
        <v>5.5E-2</v>
      </c>
      <c r="H1020" s="59" t="s">
        <v>6</v>
      </c>
      <c r="I1020" s="43">
        <f t="shared" si="30"/>
        <v>99100</v>
      </c>
      <c r="J1020" s="49">
        <f t="shared" si="31"/>
        <v>97100</v>
      </c>
      <c r="K1020" s="60">
        <v>90700</v>
      </c>
      <c r="L1020" s="3"/>
    </row>
    <row r="1021" spans="2:12" ht="12" customHeight="1">
      <c r="B1021" s="48">
        <v>1016</v>
      </c>
      <c r="C1021" s="56" t="s">
        <v>151</v>
      </c>
      <c r="D1021" s="56" t="s">
        <v>4</v>
      </c>
      <c r="E1021" s="56">
        <v>16</v>
      </c>
      <c r="F1021" s="57">
        <v>1380</v>
      </c>
      <c r="G1021" s="58">
        <f>6.943-0.015-0.05-0.008</f>
        <v>6.87</v>
      </c>
      <c r="H1021" s="78" t="s">
        <v>195</v>
      </c>
      <c r="I1021" s="43">
        <f t="shared" si="30"/>
        <v>90200</v>
      </c>
      <c r="J1021" s="49">
        <f t="shared" si="31"/>
        <v>88200</v>
      </c>
      <c r="K1021" s="60">
        <v>82400</v>
      </c>
      <c r="L1021" s="3"/>
    </row>
    <row r="1022" spans="2:12" ht="12" customHeight="1">
      <c r="B1022" s="48">
        <v>1017</v>
      </c>
      <c r="C1022" s="56" t="s">
        <v>151</v>
      </c>
      <c r="D1022" s="56" t="s">
        <v>4</v>
      </c>
      <c r="E1022" s="56">
        <v>17</v>
      </c>
      <c r="F1022" s="57">
        <v>1330</v>
      </c>
      <c r="G1022" s="58">
        <v>0.77500000000000002</v>
      </c>
      <c r="H1022" s="59" t="s">
        <v>218</v>
      </c>
      <c r="I1022" s="43">
        <f t="shared" si="30"/>
        <v>90200</v>
      </c>
      <c r="J1022" s="49">
        <f t="shared" si="31"/>
        <v>88200</v>
      </c>
      <c r="K1022" s="60">
        <v>82400</v>
      </c>
      <c r="L1022" s="3"/>
    </row>
    <row r="1023" spans="2:12" ht="12" customHeight="1">
      <c r="B1023" s="48">
        <v>1018</v>
      </c>
      <c r="C1023" s="56" t="s">
        <v>151</v>
      </c>
      <c r="D1023" s="56" t="s">
        <v>4</v>
      </c>
      <c r="E1023" s="56">
        <v>20</v>
      </c>
      <c r="F1023" s="57">
        <v>1215</v>
      </c>
      <c r="G1023" s="58">
        <f>0.365-0.054-0.006-0.065-0.003-0.01</f>
        <v>0.22699999999999998</v>
      </c>
      <c r="H1023" s="59" t="s">
        <v>195</v>
      </c>
      <c r="I1023" s="43">
        <f t="shared" si="30"/>
        <v>90200</v>
      </c>
      <c r="J1023" s="49">
        <f t="shared" si="31"/>
        <v>88200</v>
      </c>
      <c r="K1023" s="60">
        <v>82400</v>
      </c>
      <c r="L1023" s="3"/>
    </row>
    <row r="1024" spans="2:12" ht="12" customHeight="1">
      <c r="B1024" s="48">
        <v>1019</v>
      </c>
      <c r="C1024" s="56" t="s">
        <v>151</v>
      </c>
      <c r="D1024" s="56" t="s">
        <v>4</v>
      </c>
      <c r="E1024" s="56">
        <v>45</v>
      </c>
      <c r="F1024" s="57">
        <v>4850</v>
      </c>
      <c r="G1024" s="58">
        <f>3.003-0.075-0.174-1.8-0.061-0.114</f>
        <v>0.77900000000000003</v>
      </c>
      <c r="H1024" s="59"/>
      <c r="I1024" s="43">
        <f t="shared" si="30"/>
        <v>90200</v>
      </c>
      <c r="J1024" s="49">
        <f t="shared" si="31"/>
        <v>88200</v>
      </c>
      <c r="K1024" s="60">
        <v>82400</v>
      </c>
      <c r="L1024" s="3"/>
    </row>
    <row r="1025" spans="1:12" ht="12" customHeight="1">
      <c r="B1025" s="48">
        <v>1020</v>
      </c>
      <c r="C1025" s="74" t="s">
        <v>151</v>
      </c>
      <c r="D1025" s="74" t="s">
        <v>4</v>
      </c>
      <c r="E1025" s="56">
        <v>45</v>
      </c>
      <c r="F1025" s="57">
        <v>2290</v>
      </c>
      <c r="G1025" s="58">
        <f>0.625-0.085-0.058-0.1-0.028-0.057-0.058</f>
        <v>0.23899999999999999</v>
      </c>
      <c r="H1025" s="59"/>
      <c r="I1025" s="43">
        <f t="shared" si="30"/>
        <v>90200</v>
      </c>
      <c r="J1025" s="49">
        <f t="shared" si="31"/>
        <v>88200</v>
      </c>
      <c r="K1025" s="60">
        <v>82400</v>
      </c>
      <c r="L1025" s="3"/>
    </row>
    <row r="1026" spans="1:12" ht="12" customHeight="1">
      <c r="B1026" s="48">
        <v>1021</v>
      </c>
      <c r="C1026" s="56" t="s">
        <v>151</v>
      </c>
      <c r="D1026" s="56" t="s">
        <v>4</v>
      </c>
      <c r="E1026" s="56">
        <v>45</v>
      </c>
      <c r="F1026" s="57">
        <v>3700</v>
      </c>
      <c r="G1026" s="58">
        <v>1.4990000000000001</v>
      </c>
      <c r="H1026" s="78" t="s">
        <v>195</v>
      </c>
      <c r="I1026" s="43">
        <f t="shared" si="30"/>
        <v>77700</v>
      </c>
      <c r="J1026" s="49">
        <f t="shared" si="31"/>
        <v>75700</v>
      </c>
      <c r="K1026" s="60">
        <v>70700</v>
      </c>
      <c r="L1026" s="3"/>
    </row>
    <row r="1027" spans="1:12" ht="12" customHeight="1">
      <c r="B1027" s="48">
        <v>1022</v>
      </c>
      <c r="C1027" s="56" t="s">
        <v>151</v>
      </c>
      <c r="D1027" s="56" t="s">
        <v>4</v>
      </c>
      <c r="E1027" s="56">
        <v>46</v>
      </c>
      <c r="F1027" s="57">
        <v>3515</v>
      </c>
      <c r="G1027" s="58">
        <f>2.205-0.56-0.315-0.045</f>
        <v>1.2850000000000001</v>
      </c>
      <c r="H1027" s="78" t="s">
        <v>195</v>
      </c>
      <c r="I1027" s="43">
        <f t="shared" si="30"/>
        <v>90200</v>
      </c>
      <c r="J1027" s="49">
        <f t="shared" si="31"/>
        <v>88200</v>
      </c>
      <c r="K1027" s="60">
        <v>82400</v>
      </c>
      <c r="L1027" s="3"/>
    </row>
    <row r="1028" spans="1:12" ht="12" customHeight="1">
      <c r="B1028" s="48">
        <v>1023</v>
      </c>
      <c r="C1028" s="74" t="s">
        <v>151</v>
      </c>
      <c r="D1028" s="74" t="s">
        <v>4</v>
      </c>
      <c r="E1028" s="56">
        <v>70</v>
      </c>
      <c r="F1028" s="57">
        <v>6520</v>
      </c>
      <c r="G1028" s="58">
        <f>0.541-0.181-0.168</f>
        <v>0.19200000000000003</v>
      </c>
      <c r="H1028" s="59" t="s">
        <v>195</v>
      </c>
      <c r="I1028" s="43">
        <f t="shared" si="30"/>
        <v>77700</v>
      </c>
      <c r="J1028" s="49">
        <f t="shared" si="31"/>
        <v>75700</v>
      </c>
      <c r="K1028" s="60">
        <v>70700</v>
      </c>
      <c r="L1028" s="3"/>
    </row>
    <row r="1029" spans="1:12" ht="12" customHeight="1">
      <c r="B1029" s="48">
        <v>1024</v>
      </c>
      <c r="C1029" s="56" t="s">
        <v>151</v>
      </c>
      <c r="D1029" s="56" t="s">
        <v>4</v>
      </c>
      <c r="E1029" s="56">
        <v>80</v>
      </c>
      <c r="F1029" s="77">
        <v>5380</v>
      </c>
      <c r="G1029" s="75">
        <f>1.245-0.21</f>
        <v>1.0350000000000001</v>
      </c>
      <c r="H1029" s="59" t="s">
        <v>195</v>
      </c>
      <c r="I1029" s="43">
        <f t="shared" si="30"/>
        <v>90200</v>
      </c>
      <c r="J1029" s="49">
        <f t="shared" si="31"/>
        <v>88200</v>
      </c>
      <c r="K1029" s="60">
        <v>82400</v>
      </c>
      <c r="L1029" s="3"/>
    </row>
    <row r="1030" spans="1:12" ht="12" customHeight="1">
      <c r="B1030" s="48">
        <v>1025</v>
      </c>
      <c r="C1030" s="56" t="s">
        <v>151</v>
      </c>
      <c r="D1030" s="56" t="s">
        <v>4</v>
      </c>
      <c r="E1030" s="56">
        <v>80</v>
      </c>
      <c r="F1030" s="57">
        <v>5995</v>
      </c>
      <c r="G1030" s="58">
        <f>0.7-0.316-0.15</f>
        <v>0.23399999999999996</v>
      </c>
      <c r="H1030" s="59" t="s">
        <v>195</v>
      </c>
      <c r="I1030" s="43">
        <f t="shared" ref="I1030:I1093" si="32">J1030+2000</f>
        <v>90200</v>
      </c>
      <c r="J1030" s="49">
        <f t="shared" si="31"/>
        <v>88200</v>
      </c>
      <c r="K1030" s="60">
        <v>82400</v>
      </c>
      <c r="L1030" s="3"/>
    </row>
    <row r="1031" spans="1:12" s="2" customFormat="1" ht="12" customHeight="1">
      <c r="B1031" s="48">
        <v>1026</v>
      </c>
      <c r="C1031" s="56" t="s">
        <v>151</v>
      </c>
      <c r="D1031" s="56" t="s">
        <v>4</v>
      </c>
      <c r="E1031" s="56">
        <v>98</v>
      </c>
      <c r="F1031" s="57">
        <v>1000</v>
      </c>
      <c r="G1031" s="58">
        <v>5.6000000000000001E-2</v>
      </c>
      <c r="H1031" s="59" t="s">
        <v>195</v>
      </c>
      <c r="I1031" s="43">
        <f t="shared" si="32"/>
        <v>77700</v>
      </c>
      <c r="J1031" s="49">
        <f t="shared" ref="J1031:J1094" si="33">ROUNDUP(K1031*1.07,-2)</f>
        <v>75700</v>
      </c>
      <c r="K1031" s="60">
        <v>70700</v>
      </c>
      <c r="L1031" s="3"/>
    </row>
    <row r="1032" spans="1:12" ht="12" customHeight="1">
      <c r="B1032" s="48">
        <v>1027</v>
      </c>
      <c r="C1032" s="56" t="s">
        <v>151</v>
      </c>
      <c r="D1032" s="80" t="s">
        <v>4</v>
      </c>
      <c r="E1032" s="56">
        <v>100</v>
      </c>
      <c r="F1032" s="57">
        <v>4920</v>
      </c>
      <c r="G1032" s="58">
        <f>0.259+0.261-0.26</f>
        <v>0.26</v>
      </c>
      <c r="H1032" s="59" t="s">
        <v>195</v>
      </c>
      <c r="I1032" s="43">
        <f t="shared" si="32"/>
        <v>90200</v>
      </c>
      <c r="J1032" s="49">
        <f t="shared" si="33"/>
        <v>88200</v>
      </c>
      <c r="K1032" s="60">
        <v>82400</v>
      </c>
      <c r="L1032" s="2"/>
    </row>
    <row r="1033" spans="1:12" s="5" customFormat="1" ht="12" customHeight="1">
      <c r="B1033" s="48">
        <v>1028</v>
      </c>
      <c r="C1033" s="56" t="s">
        <v>151</v>
      </c>
      <c r="D1033" s="56" t="s">
        <v>4</v>
      </c>
      <c r="E1033" s="56">
        <v>100</v>
      </c>
      <c r="F1033" s="57">
        <v>5700</v>
      </c>
      <c r="G1033" s="58">
        <v>0.35099999999999998</v>
      </c>
      <c r="H1033" s="59" t="s">
        <v>195</v>
      </c>
      <c r="I1033" s="43">
        <f t="shared" si="32"/>
        <v>82200</v>
      </c>
      <c r="J1033" s="49">
        <f t="shared" si="33"/>
        <v>80200</v>
      </c>
      <c r="K1033" s="60">
        <v>74900</v>
      </c>
      <c r="L1033" s="3"/>
    </row>
    <row r="1034" spans="1:12" ht="12" customHeight="1">
      <c r="B1034" s="48">
        <v>1029</v>
      </c>
      <c r="C1034" s="56" t="s">
        <v>151</v>
      </c>
      <c r="D1034" s="56" t="s">
        <v>4</v>
      </c>
      <c r="E1034" s="56">
        <v>158</v>
      </c>
      <c r="F1034" s="57">
        <v>1195</v>
      </c>
      <c r="G1034" s="58">
        <v>0.184</v>
      </c>
      <c r="H1034" s="59" t="s">
        <v>195</v>
      </c>
      <c r="I1034" s="43">
        <f t="shared" si="32"/>
        <v>102800</v>
      </c>
      <c r="J1034" s="49">
        <f t="shared" si="33"/>
        <v>100800</v>
      </c>
      <c r="K1034" s="60">
        <v>94200</v>
      </c>
      <c r="L1034" s="3"/>
    </row>
    <row r="1035" spans="1:12" ht="12" customHeight="1">
      <c r="B1035" s="48">
        <v>1030</v>
      </c>
      <c r="C1035" s="56" t="s">
        <v>151</v>
      </c>
      <c r="D1035" s="56" t="s">
        <v>4</v>
      </c>
      <c r="E1035" s="56">
        <v>160</v>
      </c>
      <c r="F1035" s="57">
        <v>3250</v>
      </c>
      <c r="G1035" s="58">
        <v>0.50600000000000001</v>
      </c>
      <c r="H1035" s="59" t="s">
        <v>195</v>
      </c>
      <c r="I1035" s="43">
        <f t="shared" si="32"/>
        <v>90200</v>
      </c>
      <c r="J1035" s="49">
        <f t="shared" si="33"/>
        <v>88200</v>
      </c>
      <c r="K1035" s="60">
        <v>82400</v>
      </c>
      <c r="L1035" s="3"/>
    </row>
    <row r="1036" spans="1:12" customFormat="1" ht="12" customHeight="1">
      <c r="A1036" s="4"/>
      <c r="B1036" s="48">
        <v>1031</v>
      </c>
      <c r="C1036" s="56" t="s">
        <v>151</v>
      </c>
      <c r="D1036" s="56" t="s">
        <v>4</v>
      </c>
      <c r="E1036" s="56">
        <v>260</v>
      </c>
      <c r="F1036" s="57">
        <v>1900</v>
      </c>
      <c r="G1036" s="58">
        <v>0.81</v>
      </c>
      <c r="H1036" s="59" t="s">
        <v>6</v>
      </c>
      <c r="I1036" s="43">
        <f t="shared" si="32"/>
        <v>122300</v>
      </c>
      <c r="J1036" s="49">
        <f t="shared" si="33"/>
        <v>120300</v>
      </c>
      <c r="K1036" s="60">
        <v>112400</v>
      </c>
    </row>
    <row r="1037" spans="1:12" ht="12" customHeight="1">
      <c r="B1037" s="48">
        <v>1032</v>
      </c>
      <c r="C1037" s="56" t="s">
        <v>248</v>
      </c>
      <c r="D1037" s="56" t="s">
        <v>4</v>
      </c>
      <c r="E1037" s="56">
        <v>110</v>
      </c>
      <c r="F1037" s="57">
        <v>550</v>
      </c>
      <c r="G1037" s="58">
        <v>4.1000000000000002E-2</v>
      </c>
      <c r="H1037" s="59" t="s">
        <v>195</v>
      </c>
      <c r="I1037" s="43">
        <f t="shared" si="32"/>
        <v>90200</v>
      </c>
      <c r="J1037" s="49">
        <f t="shared" si="33"/>
        <v>88200</v>
      </c>
      <c r="K1037" s="60">
        <v>82400</v>
      </c>
      <c r="L1037" s="3"/>
    </row>
    <row r="1038" spans="1:12" ht="12" customHeight="1">
      <c r="B1038" s="48">
        <v>1033</v>
      </c>
      <c r="C1038" s="56" t="s">
        <v>152</v>
      </c>
      <c r="D1038" s="56" t="s">
        <v>4</v>
      </c>
      <c r="E1038" s="56">
        <v>22</v>
      </c>
      <c r="F1038" s="57">
        <v>5605</v>
      </c>
      <c r="G1038" s="58">
        <v>0.05</v>
      </c>
      <c r="H1038" s="59" t="s">
        <v>280</v>
      </c>
      <c r="I1038" s="43">
        <f t="shared" si="32"/>
        <v>288300</v>
      </c>
      <c r="J1038" s="49">
        <f t="shared" si="33"/>
        <v>286300</v>
      </c>
      <c r="K1038" s="60">
        <v>267500</v>
      </c>
      <c r="L1038" s="3"/>
    </row>
    <row r="1039" spans="1:12" ht="12" customHeight="1">
      <c r="B1039" s="48">
        <v>1034</v>
      </c>
      <c r="C1039" s="56" t="s">
        <v>152</v>
      </c>
      <c r="D1039" s="56" t="s">
        <v>4</v>
      </c>
      <c r="E1039" s="56">
        <v>25</v>
      </c>
      <c r="F1039" s="57">
        <v>2890</v>
      </c>
      <c r="G1039" s="58">
        <f>0.325</f>
        <v>0.32500000000000001</v>
      </c>
      <c r="H1039" s="59" t="s">
        <v>195</v>
      </c>
      <c r="I1039" s="43">
        <f t="shared" si="32"/>
        <v>288300</v>
      </c>
      <c r="J1039" s="49">
        <f t="shared" si="33"/>
        <v>286300</v>
      </c>
      <c r="K1039" s="60">
        <v>267500</v>
      </c>
      <c r="L1039" s="3"/>
    </row>
    <row r="1040" spans="1:12" ht="12" customHeight="1">
      <c r="B1040" s="48">
        <v>1035</v>
      </c>
      <c r="C1040" s="56" t="s">
        <v>152</v>
      </c>
      <c r="D1040" s="56" t="s">
        <v>4</v>
      </c>
      <c r="E1040" s="56">
        <v>25</v>
      </c>
      <c r="F1040" s="57">
        <v>2930</v>
      </c>
      <c r="G1040" s="58">
        <f>0.32-0.011-0.01</f>
        <v>0.29899999999999999</v>
      </c>
      <c r="H1040" s="78" t="s">
        <v>195</v>
      </c>
      <c r="I1040" s="43">
        <f t="shared" si="32"/>
        <v>288300</v>
      </c>
      <c r="J1040" s="49">
        <f t="shared" si="33"/>
        <v>286300</v>
      </c>
      <c r="K1040" s="60">
        <v>267500</v>
      </c>
      <c r="L1040" s="3"/>
    </row>
    <row r="1041" spans="2:12" ht="12" customHeight="1">
      <c r="B1041" s="48">
        <v>1036</v>
      </c>
      <c r="C1041" s="56" t="s">
        <v>152</v>
      </c>
      <c r="D1041" s="56" t="s">
        <v>4</v>
      </c>
      <c r="E1041" s="56">
        <v>25</v>
      </c>
      <c r="F1041" s="57">
        <v>2965</v>
      </c>
      <c r="G1041" s="58">
        <v>2.895</v>
      </c>
      <c r="H1041" s="59" t="s">
        <v>195</v>
      </c>
      <c r="I1041" s="43">
        <f t="shared" si="32"/>
        <v>288300</v>
      </c>
      <c r="J1041" s="49">
        <f t="shared" si="33"/>
        <v>286300</v>
      </c>
      <c r="K1041" s="60">
        <v>267500</v>
      </c>
      <c r="L1041" s="3"/>
    </row>
    <row r="1042" spans="2:12" ht="12" customHeight="1">
      <c r="B1042" s="48">
        <v>1037</v>
      </c>
      <c r="C1042" s="56" t="s">
        <v>152</v>
      </c>
      <c r="D1042" s="56" t="s">
        <v>4</v>
      </c>
      <c r="E1042" s="56">
        <v>30</v>
      </c>
      <c r="F1042" s="57" t="s">
        <v>153</v>
      </c>
      <c r="G1042" s="58">
        <f>0.1-0.03-0.045</f>
        <v>2.5000000000000008E-2</v>
      </c>
      <c r="H1042" s="59" t="s">
        <v>195</v>
      </c>
      <c r="I1042" s="43">
        <f t="shared" si="32"/>
        <v>288300</v>
      </c>
      <c r="J1042" s="49">
        <f t="shared" si="33"/>
        <v>286300</v>
      </c>
      <c r="K1042" s="60">
        <v>267500</v>
      </c>
      <c r="L1042" s="3"/>
    </row>
    <row r="1043" spans="2:12" ht="12" customHeight="1">
      <c r="B1043" s="48">
        <v>1038</v>
      </c>
      <c r="C1043" s="56" t="s">
        <v>152</v>
      </c>
      <c r="D1043" s="56" t="s">
        <v>4</v>
      </c>
      <c r="E1043" s="56">
        <v>32</v>
      </c>
      <c r="F1043" s="57">
        <v>2860</v>
      </c>
      <c r="G1043" s="58">
        <f>0.495-0.21</f>
        <v>0.28500000000000003</v>
      </c>
      <c r="H1043" s="78" t="s">
        <v>195</v>
      </c>
      <c r="I1043" s="43">
        <f t="shared" si="32"/>
        <v>288300</v>
      </c>
      <c r="J1043" s="49">
        <f t="shared" si="33"/>
        <v>286300</v>
      </c>
      <c r="K1043" s="60">
        <v>267500</v>
      </c>
      <c r="L1043" s="3"/>
    </row>
    <row r="1044" spans="2:12" ht="12" customHeight="1">
      <c r="B1044" s="48">
        <v>1039</v>
      </c>
      <c r="C1044" s="56" t="s">
        <v>152</v>
      </c>
      <c r="D1044" s="56" t="s">
        <v>4</v>
      </c>
      <c r="E1044" s="56">
        <v>32</v>
      </c>
      <c r="F1044" s="57">
        <v>3055</v>
      </c>
      <c r="G1044" s="58">
        <v>0.27500000000000002</v>
      </c>
      <c r="H1044" s="78" t="s">
        <v>195</v>
      </c>
      <c r="I1044" s="43">
        <f t="shared" si="32"/>
        <v>288300</v>
      </c>
      <c r="J1044" s="49">
        <f t="shared" si="33"/>
        <v>286300</v>
      </c>
      <c r="K1044" s="60">
        <v>267500</v>
      </c>
      <c r="L1044" s="3"/>
    </row>
    <row r="1045" spans="2:12" ht="12" customHeight="1">
      <c r="B1045" s="48">
        <v>1040</v>
      </c>
      <c r="C1045" s="56" t="s">
        <v>152</v>
      </c>
      <c r="D1045" s="56" t="s">
        <v>4</v>
      </c>
      <c r="E1045" s="56">
        <v>35</v>
      </c>
      <c r="F1045" s="57">
        <v>3940</v>
      </c>
      <c r="G1045" s="58">
        <f>0.103-0.03</f>
        <v>7.2999999999999995E-2</v>
      </c>
      <c r="H1045" s="78" t="s">
        <v>195</v>
      </c>
      <c r="I1045" s="43">
        <f t="shared" si="32"/>
        <v>288300</v>
      </c>
      <c r="J1045" s="49">
        <f t="shared" si="33"/>
        <v>286300</v>
      </c>
      <c r="K1045" s="60">
        <v>267500</v>
      </c>
      <c r="L1045" s="5"/>
    </row>
    <row r="1046" spans="2:12" ht="12" customHeight="1">
      <c r="B1046" s="48">
        <v>1041</v>
      </c>
      <c r="C1046" s="56" t="s">
        <v>249</v>
      </c>
      <c r="D1046" s="56" t="s">
        <v>4</v>
      </c>
      <c r="E1046" s="56">
        <v>70</v>
      </c>
      <c r="F1046" s="57">
        <v>1030</v>
      </c>
      <c r="G1046" s="58">
        <v>3.1E-2</v>
      </c>
      <c r="H1046" s="59" t="s">
        <v>34</v>
      </c>
      <c r="I1046" s="43">
        <f t="shared" si="32"/>
        <v>357000</v>
      </c>
      <c r="J1046" s="49">
        <f t="shared" si="33"/>
        <v>355000</v>
      </c>
      <c r="K1046" s="60">
        <v>331700</v>
      </c>
      <c r="L1046" s="3"/>
    </row>
    <row r="1047" spans="2:12" ht="12" customHeight="1">
      <c r="B1047" s="48">
        <v>1042</v>
      </c>
      <c r="C1047" s="56" t="s">
        <v>250</v>
      </c>
      <c r="D1047" s="56" t="s">
        <v>4</v>
      </c>
      <c r="E1047" s="56">
        <v>72</v>
      </c>
      <c r="F1047" s="57">
        <v>1760</v>
      </c>
      <c r="G1047" s="58">
        <v>5.5E-2</v>
      </c>
      <c r="H1047" s="59" t="s">
        <v>195</v>
      </c>
      <c r="I1047" s="43">
        <f t="shared" si="32"/>
        <v>357000</v>
      </c>
      <c r="J1047" s="49">
        <f t="shared" si="33"/>
        <v>355000</v>
      </c>
      <c r="K1047" s="60">
        <v>331700</v>
      </c>
      <c r="L1047" s="3"/>
    </row>
    <row r="1048" spans="2:12" ht="12" customHeight="1">
      <c r="B1048" s="48">
        <v>1043</v>
      </c>
      <c r="C1048" s="56" t="s">
        <v>277</v>
      </c>
      <c r="D1048" s="56" t="s">
        <v>4</v>
      </c>
      <c r="E1048" s="56">
        <v>90</v>
      </c>
      <c r="F1048" s="57">
        <v>2010</v>
      </c>
      <c r="G1048" s="58">
        <v>0.1</v>
      </c>
      <c r="H1048" s="59" t="s">
        <v>6</v>
      </c>
      <c r="I1048" s="43">
        <f t="shared" si="32"/>
        <v>460000</v>
      </c>
      <c r="J1048" s="49">
        <f t="shared" si="33"/>
        <v>458000</v>
      </c>
      <c r="K1048" s="60">
        <v>428000</v>
      </c>
      <c r="L1048" s="3"/>
    </row>
    <row r="1049" spans="2:12" ht="12" customHeight="1">
      <c r="B1049" s="48">
        <v>1044</v>
      </c>
      <c r="C1049" s="56" t="s">
        <v>277</v>
      </c>
      <c r="D1049" s="56" t="s">
        <v>4</v>
      </c>
      <c r="E1049" s="56">
        <v>102</v>
      </c>
      <c r="F1049" s="57">
        <v>765</v>
      </c>
      <c r="G1049" s="58">
        <f>0.05+0.06+0.075-0.075</f>
        <v>0.11</v>
      </c>
      <c r="H1049" s="59" t="s">
        <v>195</v>
      </c>
      <c r="I1049" s="43">
        <f t="shared" si="32"/>
        <v>460000</v>
      </c>
      <c r="J1049" s="49">
        <f t="shared" si="33"/>
        <v>458000</v>
      </c>
      <c r="K1049" s="60">
        <v>428000</v>
      </c>
      <c r="L1049" s="3"/>
    </row>
    <row r="1050" spans="2:12" ht="12" customHeight="1">
      <c r="B1050" s="48">
        <v>1045</v>
      </c>
      <c r="C1050" s="56" t="s">
        <v>277</v>
      </c>
      <c r="D1050" s="56" t="s">
        <v>4</v>
      </c>
      <c r="E1050" s="56">
        <v>165</v>
      </c>
      <c r="F1050" s="57">
        <v>1660</v>
      </c>
      <c r="G1050" s="58">
        <v>0.28000000000000003</v>
      </c>
      <c r="H1050" s="59" t="s">
        <v>195</v>
      </c>
      <c r="I1050" s="43">
        <f t="shared" si="32"/>
        <v>517300</v>
      </c>
      <c r="J1050" s="49">
        <f t="shared" si="33"/>
        <v>515300</v>
      </c>
      <c r="K1050" s="60">
        <v>481500</v>
      </c>
      <c r="L1050" s="3"/>
    </row>
    <row r="1051" spans="2:12" ht="12" customHeight="1">
      <c r="B1051" s="48">
        <v>1046</v>
      </c>
      <c r="C1051" s="56" t="s">
        <v>154</v>
      </c>
      <c r="D1051" s="56" t="s">
        <v>4</v>
      </c>
      <c r="E1051" s="56">
        <v>40</v>
      </c>
      <c r="F1051" s="57" t="s">
        <v>155</v>
      </c>
      <c r="G1051" s="58">
        <v>0.36</v>
      </c>
      <c r="H1051" s="59" t="s">
        <v>195</v>
      </c>
      <c r="I1051" s="43">
        <f t="shared" si="32"/>
        <v>153200</v>
      </c>
      <c r="J1051" s="49">
        <f t="shared" si="33"/>
        <v>151200</v>
      </c>
      <c r="K1051" s="60">
        <v>141300</v>
      </c>
      <c r="L1051" s="3"/>
    </row>
    <row r="1052" spans="2:12" ht="12" customHeight="1">
      <c r="B1052" s="48">
        <v>1047</v>
      </c>
      <c r="C1052" s="56" t="s">
        <v>154</v>
      </c>
      <c r="D1052" s="56" t="s">
        <v>4</v>
      </c>
      <c r="E1052" s="56">
        <v>40</v>
      </c>
      <c r="F1052" s="57" t="s">
        <v>156</v>
      </c>
      <c r="G1052" s="58">
        <v>0.25</v>
      </c>
      <c r="H1052" s="59" t="s">
        <v>195</v>
      </c>
      <c r="I1052" s="43">
        <f t="shared" si="32"/>
        <v>153200</v>
      </c>
      <c r="J1052" s="49">
        <f t="shared" si="33"/>
        <v>151200</v>
      </c>
      <c r="K1052" s="60">
        <v>141300</v>
      </c>
      <c r="L1052" s="3"/>
    </row>
    <row r="1053" spans="2:12" ht="12" customHeight="1">
      <c r="B1053" s="48">
        <v>1048</v>
      </c>
      <c r="C1053" s="56" t="s">
        <v>154</v>
      </c>
      <c r="D1053" s="56" t="s">
        <v>4</v>
      </c>
      <c r="E1053" s="56">
        <v>125</v>
      </c>
      <c r="F1053" s="57">
        <v>2200</v>
      </c>
      <c r="G1053" s="58">
        <v>0.69599999999999995</v>
      </c>
      <c r="H1053" s="59" t="s">
        <v>195</v>
      </c>
      <c r="I1053" s="43">
        <f t="shared" si="32"/>
        <v>153200</v>
      </c>
      <c r="J1053" s="49">
        <f t="shared" si="33"/>
        <v>151200</v>
      </c>
      <c r="K1053" s="60">
        <v>141300</v>
      </c>
      <c r="L1053" s="3"/>
    </row>
    <row r="1054" spans="2:12" ht="12" customHeight="1">
      <c r="B1054" s="48">
        <v>1049</v>
      </c>
      <c r="C1054" s="56" t="s">
        <v>154</v>
      </c>
      <c r="D1054" s="56" t="s">
        <v>4</v>
      </c>
      <c r="E1054" s="56">
        <v>130</v>
      </c>
      <c r="F1054" s="57">
        <v>1850</v>
      </c>
      <c r="G1054" s="58">
        <v>0.192</v>
      </c>
      <c r="H1054" s="59" t="s">
        <v>195</v>
      </c>
      <c r="I1054" s="43">
        <f t="shared" si="32"/>
        <v>153200</v>
      </c>
      <c r="J1054" s="49">
        <f t="shared" si="33"/>
        <v>151200</v>
      </c>
      <c r="K1054" s="60">
        <v>141300</v>
      </c>
      <c r="L1054" s="3"/>
    </row>
    <row r="1055" spans="2:12" ht="12" customHeight="1">
      <c r="B1055" s="48">
        <v>1050</v>
      </c>
      <c r="C1055" s="56" t="s">
        <v>154</v>
      </c>
      <c r="D1055" s="56" t="s">
        <v>4</v>
      </c>
      <c r="E1055" s="56">
        <v>235</v>
      </c>
      <c r="F1055" s="57">
        <v>100</v>
      </c>
      <c r="G1055" s="58">
        <v>0.04</v>
      </c>
      <c r="H1055" s="59" t="s">
        <v>6</v>
      </c>
      <c r="I1055" s="43">
        <f t="shared" si="32"/>
        <v>178400</v>
      </c>
      <c r="J1055" s="49">
        <f t="shared" si="33"/>
        <v>176400</v>
      </c>
      <c r="K1055" s="60">
        <v>164800</v>
      </c>
      <c r="L1055" s="3"/>
    </row>
    <row r="1056" spans="2:12" ht="12" customHeight="1">
      <c r="B1056" s="48">
        <v>1051</v>
      </c>
      <c r="C1056" s="56" t="s">
        <v>157</v>
      </c>
      <c r="D1056" s="56" t="s">
        <v>4</v>
      </c>
      <c r="E1056" s="56">
        <v>150</v>
      </c>
      <c r="F1056" s="57" t="s">
        <v>158</v>
      </c>
      <c r="G1056" s="58">
        <f>4.495-0.565-0.3-2.12</f>
        <v>1.5100000000000002</v>
      </c>
      <c r="H1056" s="59" t="s">
        <v>195</v>
      </c>
      <c r="I1056" s="43">
        <f t="shared" si="32"/>
        <v>178400</v>
      </c>
      <c r="J1056" s="49">
        <f t="shared" si="33"/>
        <v>176400</v>
      </c>
      <c r="K1056" s="60">
        <v>164800</v>
      </c>
      <c r="L1056" s="3"/>
    </row>
    <row r="1057" spans="1:12" customFormat="1" ht="12" customHeight="1">
      <c r="A1057" s="4"/>
      <c r="B1057" s="48">
        <v>1052</v>
      </c>
      <c r="C1057" s="56" t="s">
        <v>225</v>
      </c>
      <c r="D1057" s="56" t="s">
        <v>4</v>
      </c>
      <c r="E1057" s="56">
        <v>30</v>
      </c>
      <c r="F1057" s="57">
        <v>2400</v>
      </c>
      <c r="G1057" s="58">
        <v>0.33500000000000002</v>
      </c>
      <c r="H1057" s="59" t="s">
        <v>195</v>
      </c>
      <c r="I1057" s="43">
        <f t="shared" si="32"/>
        <v>414200</v>
      </c>
      <c r="J1057" s="49">
        <f t="shared" si="33"/>
        <v>412200</v>
      </c>
      <c r="K1057" s="60">
        <v>385200</v>
      </c>
      <c r="L1057" s="3"/>
    </row>
    <row r="1058" spans="1:12" ht="12" customHeight="1">
      <c r="B1058" s="48">
        <v>1053</v>
      </c>
      <c r="C1058" s="56" t="s">
        <v>225</v>
      </c>
      <c r="D1058" s="56" t="s">
        <v>4</v>
      </c>
      <c r="E1058" s="56">
        <v>42</v>
      </c>
      <c r="F1058" s="57" t="s">
        <v>190</v>
      </c>
      <c r="G1058" s="58">
        <f>0.285-0.058-0.022-0.041</f>
        <v>0.16399999999999998</v>
      </c>
      <c r="H1058" s="59" t="s">
        <v>195</v>
      </c>
      <c r="I1058" s="43">
        <f t="shared" si="32"/>
        <v>414200</v>
      </c>
      <c r="J1058" s="49">
        <f t="shared" si="33"/>
        <v>412200</v>
      </c>
      <c r="K1058" s="60">
        <v>385200</v>
      </c>
      <c r="L1058"/>
    </row>
    <row r="1059" spans="1:12" customFormat="1" ht="12" customHeight="1">
      <c r="A1059" s="4"/>
      <c r="B1059" s="48">
        <v>1054</v>
      </c>
      <c r="C1059" s="56" t="s">
        <v>225</v>
      </c>
      <c r="D1059" s="56" t="s">
        <v>4</v>
      </c>
      <c r="E1059" s="56">
        <v>47</v>
      </c>
      <c r="F1059" s="57">
        <v>1560</v>
      </c>
      <c r="G1059" s="58">
        <f>0.021+0.021</f>
        <v>4.2000000000000003E-2</v>
      </c>
      <c r="H1059" s="59" t="s">
        <v>195</v>
      </c>
      <c r="I1059" s="43">
        <f t="shared" si="32"/>
        <v>414200</v>
      </c>
      <c r="J1059" s="49">
        <f t="shared" si="33"/>
        <v>412200</v>
      </c>
      <c r="K1059" s="60">
        <v>385200</v>
      </c>
      <c r="L1059" s="3"/>
    </row>
    <row r="1060" spans="1:12" ht="12" customHeight="1">
      <c r="B1060" s="48">
        <v>1055</v>
      </c>
      <c r="C1060" s="56" t="s">
        <v>225</v>
      </c>
      <c r="D1060" s="56" t="s">
        <v>4</v>
      </c>
      <c r="E1060" s="56">
        <v>48</v>
      </c>
      <c r="F1060" s="57">
        <v>1465</v>
      </c>
      <c r="G1060" s="58">
        <v>0.02</v>
      </c>
      <c r="H1060" s="59" t="s">
        <v>195</v>
      </c>
      <c r="I1060" s="43">
        <f t="shared" si="32"/>
        <v>414200</v>
      </c>
      <c r="J1060" s="49">
        <f t="shared" si="33"/>
        <v>412200</v>
      </c>
      <c r="K1060" s="60">
        <v>385200</v>
      </c>
      <c r="L1060"/>
    </row>
    <row r="1061" spans="1:12" ht="12" customHeight="1">
      <c r="B1061" s="48">
        <v>1056</v>
      </c>
      <c r="C1061" s="56" t="s">
        <v>225</v>
      </c>
      <c r="D1061" s="56" t="s">
        <v>4</v>
      </c>
      <c r="E1061" s="56">
        <v>51</v>
      </c>
      <c r="F1061" s="57">
        <v>1330</v>
      </c>
      <c r="G1061" s="58">
        <v>0.35</v>
      </c>
      <c r="H1061" s="59" t="s">
        <v>195</v>
      </c>
      <c r="I1061" s="43">
        <f t="shared" si="32"/>
        <v>414200</v>
      </c>
      <c r="J1061" s="49">
        <f t="shared" si="33"/>
        <v>412200</v>
      </c>
      <c r="K1061" s="60">
        <v>385200</v>
      </c>
      <c r="L1061" s="3"/>
    </row>
    <row r="1062" spans="1:12" ht="12" customHeight="1">
      <c r="B1062" s="48">
        <v>1057</v>
      </c>
      <c r="C1062" s="56" t="s">
        <v>222</v>
      </c>
      <c r="D1062" s="56" t="s">
        <v>4</v>
      </c>
      <c r="E1062" s="56">
        <v>14</v>
      </c>
      <c r="F1062" s="57">
        <v>3460</v>
      </c>
      <c r="G1062" s="58">
        <v>2.5000000000000001E-2</v>
      </c>
      <c r="H1062" s="59" t="s">
        <v>218</v>
      </c>
      <c r="I1062" s="43">
        <f t="shared" si="32"/>
        <v>128000</v>
      </c>
      <c r="J1062" s="49">
        <f t="shared" si="33"/>
        <v>126000</v>
      </c>
      <c r="K1062" s="60">
        <v>117700</v>
      </c>
      <c r="L1062" s="3"/>
    </row>
    <row r="1063" spans="1:12" ht="12.75" customHeight="1">
      <c r="B1063" s="48">
        <v>1058</v>
      </c>
      <c r="C1063" s="56" t="s">
        <v>222</v>
      </c>
      <c r="D1063" s="56" t="s">
        <v>4</v>
      </c>
      <c r="E1063" s="56">
        <v>16</v>
      </c>
      <c r="F1063" s="57">
        <v>3165</v>
      </c>
      <c r="G1063" s="58">
        <v>0.435</v>
      </c>
      <c r="H1063" s="59" t="s">
        <v>218</v>
      </c>
      <c r="I1063" s="43">
        <f t="shared" si="32"/>
        <v>128000</v>
      </c>
      <c r="J1063" s="49">
        <f t="shared" si="33"/>
        <v>126000</v>
      </c>
      <c r="K1063" s="60">
        <v>117700</v>
      </c>
      <c r="L1063" s="3"/>
    </row>
    <row r="1064" spans="1:12" ht="12.75" customHeight="1">
      <c r="B1064" s="48">
        <v>1059</v>
      </c>
      <c r="C1064" s="56" t="s">
        <v>222</v>
      </c>
      <c r="D1064" s="56" t="s">
        <v>4</v>
      </c>
      <c r="E1064" s="56">
        <v>60</v>
      </c>
      <c r="F1064" s="57">
        <v>2745</v>
      </c>
      <c r="G1064" s="58">
        <v>0.06</v>
      </c>
      <c r="H1064" s="59" t="s">
        <v>195</v>
      </c>
      <c r="I1064" s="43">
        <f t="shared" si="32"/>
        <v>128000</v>
      </c>
      <c r="J1064" s="49">
        <f t="shared" si="33"/>
        <v>126000</v>
      </c>
      <c r="K1064" s="60">
        <v>117700</v>
      </c>
      <c r="L1064" s="3"/>
    </row>
    <row r="1065" spans="1:12" ht="12" customHeight="1">
      <c r="B1065" s="48">
        <v>1060</v>
      </c>
      <c r="C1065" s="56" t="s">
        <v>222</v>
      </c>
      <c r="D1065" s="80" t="s">
        <v>4</v>
      </c>
      <c r="E1065" s="56">
        <v>90</v>
      </c>
      <c r="F1065" s="57">
        <v>3000</v>
      </c>
      <c r="G1065" s="58">
        <v>0.14799999999999999</v>
      </c>
      <c r="H1065" s="59" t="s">
        <v>195</v>
      </c>
      <c r="I1065" s="43">
        <f t="shared" si="32"/>
        <v>128000</v>
      </c>
      <c r="J1065" s="49">
        <f t="shared" si="33"/>
        <v>126000</v>
      </c>
      <c r="K1065" s="60">
        <v>117700</v>
      </c>
      <c r="L1065" s="3"/>
    </row>
    <row r="1066" spans="1:12" ht="12" customHeight="1">
      <c r="B1066" s="48">
        <v>1061</v>
      </c>
      <c r="C1066" s="56" t="s">
        <v>222</v>
      </c>
      <c r="D1066" s="56" t="s">
        <v>4</v>
      </c>
      <c r="E1066" s="56">
        <v>90</v>
      </c>
      <c r="F1066" s="57">
        <v>4995</v>
      </c>
      <c r="G1066" s="58">
        <v>0.246</v>
      </c>
      <c r="H1066" s="59" t="s">
        <v>195</v>
      </c>
      <c r="I1066" s="43">
        <f t="shared" si="32"/>
        <v>128000</v>
      </c>
      <c r="J1066" s="49">
        <f t="shared" si="33"/>
        <v>126000</v>
      </c>
      <c r="K1066" s="60">
        <v>117700</v>
      </c>
      <c r="L1066" s="3"/>
    </row>
    <row r="1067" spans="1:12" ht="12.75" customHeight="1">
      <c r="B1067" s="48">
        <v>1062</v>
      </c>
      <c r="C1067" s="56" t="s">
        <v>222</v>
      </c>
      <c r="D1067" s="56" t="s">
        <v>4</v>
      </c>
      <c r="E1067" s="56">
        <v>105</v>
      </c>
      <c r="F1067" s="57">
        <v>2635</v>
      </c>
      <c r="G1067" s="58">
        <f>0.176+0.177-0.178</f>
        <v>0.17499999999999999</v>
      </c>
      <c r="H1067" s="59" t="s">
        <v>195</v>
      </c>
      <c r="I1067" s="43">
        <f t="shared" si="32"/>
        <v>128000</v>
      </c>
      <c r="J1067" s="49">
        <f t="shared" si="33"/>
        <v>126000</v>
      </c>
      <c r="K1067" s="60">
        <v>117700</v>
      </c>
      <c r="L1067" s="3"/>
    </row>
    <row r="1068" spans="1:12" ht="12" customHeight="1">
      <c r="B1068" s="48">
        <v>1063</v>
      </c>
      <c r="C1068" s="56" t="s">
        <v>222</v>
      </c>
      <c r="D1068" s="56" t="s">
        <v>4</v>
      </c>
      <c r="E1068" s="56">
        <v>150</v>
      </c>
      <c r="F1068" s="57">
        <v>2050</v>
      </c>
      <c r="G1068" s="58">
        <v>0.28499999999999998</v>
      </c>
      <c r="H1068" s="59" t="s">
        <v>195</v>
      </c>
      <c r="I1068" s="43">
        <f t="shared" si="32"/>
        <v>128000</v>
      </c>
      <c r="J1068" s="49">
        <f t="shared" si="33"/>
        <v>126000</v>
      </c>
      <c r="K1068" s="60">
        <v>117700</v>
      </c>
      <c r="L1068" s="3"/>
    </row>
    <row r="1069" spans="1:12" ht="12" customHeight="1">
      <c r="B1069" s="48">
        <v>1064</v>
      </c>
      <c r="C1069" s="56" t="s">
        <v>217</v>
      </c>
      <c r="D1069" s="56" t="s">
        <v>4</v>
      </c>
      <c r="E1069" s="56">
        <v>16</v>
      </c>
      <c r="F1069" s="57">
        <v>1130</v>
      </c>
      <c r="G1069" s="58">
        <v>4.0000000000000001E-3</v>
      </c>
      <c r="H1069" s="59" t="s">
        <v>218</v>
      </c>
      <c r="I1069" s="43">
        <f t="shared" si="32"/>
        <v>425700</v>
      </c>
      <c r="J1069" s="49">
        <f t="shared" si="33"/>
        <v>423700</v>
      </c>
      <c r="K1069" s="60">
        <v>395900</v>
      </c>
      <c r="L1069" s="3"/>
    </row>
    <row r="1070" spans="1:12" customFormat="1" ht="12" customHeight="1">
      <c r="A1070" s="4"/>
      <c r="B1070" s="48">
        <v>1065</v>
      </c>
      <c r="C1070" s="56" t="s">
        <v>217</v>
      </c>
      <c r="D1070" s="56" t="s">
        <v>4</v>
      </c>
      <c r="E1070" s="56">
        <v>18</v>
      </c>
      <c r="F1070" s="57">
        <v>1365</v>
      </c>
      <c r="G1070" s="58">
        <f>0.055-0.018</f>
        <v>3.7000000000000005E-2</v>
      </c>
      <c r="H1070" s="59" t="s">
        <v>195</v>
      </c>
      <c r="I1070" s="43">
        <f t="shared" si="32"/>
        <v>425700</v>
      </c>
      <c r="J1070" s="49">
        <f t="shared" si="33"/>
        <v>423700</v>
      </c>
      <c r="K1070" s="60">
        <v>395900</v>
      </c>
      <c r="L1070" s="3"/>
    </row>
    <row r="1071" spans="1:12" ht="12" customHeight="1">
      <c r="B1071" s="48">
        <v>1066</v>
      </c>
      <c r="C1071" s="56" t="s">
        <v>217</v>
      </c>
      <c r="D1071" s="56" t="s">
        <v>4</v>
      </c>
      <c r="E1071" s="56">
        <v>56</v>
      </c>
      <c r="F1071" s="57">
        <v>750</v>
      </c>
      <c r="G1071" s="58">
        <f>0.014+0.014+0.02</f>
        <v>4.8000000000000001E-2</v>
      </c>
      <c r="H1071" s="59" t="s">
        <v>195</v>
      </c>
      <c r="I1071" s="43">
        <f t="shared" si="32"/>
        <v>425700</v>
      </c>
      <c r="J1071" s="49">
        <f t="shared" si="33"/>
        <v>423700</v>
      </c>
      <c r="K1071" s="60">
        <v>395900</v>
      </c>
      <c r="L1071"/>
    </row>
    <row r="1072" spans="1:12" ht="12" customHeight="1">
      <c r="B1072" s="48">
        <v>1067</v>
      </c>
      <c r="C1072" s="56" t="s">
        <v>217</v>
      </c>
      <c r="D1072" s="56" t="s">
        <v>4</v>
      </c>
      <c r="E1072" s="56">
        <v>80</v>
      </c>
      <c r="F1072" s="57">
        <v>2205</v>
      </c>
      <c r="G1072" s="58">
        <v>0.17499999999999999</v>
      </c>
      <c r="H1072" s="59" t="s">
        <v>195</v>
      </c>
      <c r="I1072" s="43">
        <f t="shared" si="32"/>
        <v>425700</v>
      </c>
      <c r="J1072" s="49">
        <f t="shared" si="33"/>
        <v>423700</v>
      </c>
      <c r="K1072" s="60">
        <v>395900</v>
      </c>
      <c r="L1072" s="3"/>
    </row>
    <row r="1073" spans="1:12" customFormat="1" ht="12" customHeight="1">
      <c r="A1073" s="4"/>
      <c r="B1073" s="48">
        <v>1068</v>
      </c>
      <c r="C1073" s="56" t="s">
        <v>217</v>
      </c>
      <c r="D1073" s="56" t="s">
        <v>4</v>
      </c>
      <c r="E1073" s="56">
        <v>82</v>
      </c>
      <c r="F1073" s="57">
        <v>1220</v>
      </c>
      <c r="G1073" s="58">
        <v>0.05</v>
      </c>
      <c r="H1073" s="59" t="s">
        <v>195</v>
      </c>
      <c r="I1073" s="43">
        <f t="shared" si="32"/>
        <v>425700</v>
      </c>
      <c r="J1073" s="49">
        <f t="shared" si="33"/>
        <v>423700</v>
      </c>
      <c r="K1073" s="60">
        <v>395900</v>
      </c>
      <c r="L1073" s="5"/>
    </row>
    <row r="1074" spans="1:12" customFormat="1" ht="12" customHeight="1">
      <c r="A1074" s="4"/>
      <c r="B1074" s="48">
        <v>1069</v>
      </c>
      <c r="C1074" s="56" t="s">
        <v>217</v>
      </c>
      <c r="D1074" s="56" t="s">
        <v>4</v>
      </c>
      <c r="E1074" s="56">
        <v>82</v>
      </c>
      <c r="F1074" s="57">
        <v>1800</v>
      </c>
      <c r="G1074" s="58">
        <v>7.0000000000000007E-2</v>
      </c>
      <c r="H1074" s="59" t="s">
        <v>195</v>
      </c>
      <c r="I1074" s="43">
        <f t="shared" si="32"/>
        <v>425700</v>
      </c>
      <c r="J1074" s="49">
        <f t="shared" si="33"/>
        <v>423700</v>
      </c>
      <c r="K1074" s="60">
        <v>395900</v>
      </c>
    </row>
    <row r="1075" spans="1:12" customFormat="1" ht="12" customHeight="1">
      <c r="A1075" s="4"/>
      <c r="B1075" s="48">
        <v>1070</v>
      </c>
      <c r="C1075" s="56" t="s">
        <v>302</v>
      </c>
      <c r="D1075" s="56" t="s">
        <v>4</v>
      </c>
      <c r="E1075" s="56">
        <v>100</v>
      </c>
      <c r="F1075" s="57">
        <v>1430</v>
      </c>
      <c r="G1075" s="58">
        <v>0.69499999999999995</v>
      </c>
      <c r="H1075" s="59" t="s">
        <v>306</v>
      </c>
      <c r="I1075" s="43">
        <f t="shared" si="32"/>
        <v>425700</v>
      </c>
      <c r="J1075" s="49">
        <f t="shared" si="33"/>
        <v>423700</v>
      </c>
      <c r="K1075" s="60">
        <v>395900</v>
      </c>
    </row>
    <row r="1076" spans="1:12" ht="12" customHeight="1">
      <c r="B1076" s="48">
        <v>1071</v>
      </c>
      <c r="C1076" s="56" t="s">
        <v>159</v>
      </c>
      <c r="D1076" s="56" t="s">
        <v>4</v>
      </c>
      <c r="E1076" s="56">
        <v>28</v>
      </c>
      <c r="F1076" s="57">
        <v>1900</v>
      </c>
      <c r="G1076" s="58">
        <f>0.54-0.025-0.045-0.035-0.04-0.048-0.094-0.058-0.058-0.098-0.009</f>
        <v>3.0000000000000117E-2</v>
      </c>
      <c r="H1076" s="78" t="s">
        <v>195</v>
      </c>
      <c r="I1076" s="43">
        <f t="shared" si="32"/>
        <v>82200</v>
      </c>
      <c r="J1076" s="49">
        <f t="shared" si="33"/>
        <v>80200</v>
      </c>
      <c r="K1076" s="60">
        <v>74900</v>
      </c>
      <c r="L1076"/>
    </row>
    <row r="1077" spans="1:12" customFormat="1" ht="12" customHeight="1">
      <c r="A1077" s="4"/>
      <c r="B1077" s="48">
        <v>1072</v>
      </c>
      <c r="C1077" s="56" t="s">
        <v>159</v>
      </c>
      <c r="D1077" s="56" t="s">
        <v>4</v>
      </c>
      <c r="E1077" s="56">
        <v>95</v>
      </c>
      <c r="F1077" s="57">
        <v>2725</v>
      </c>
      <c r="G1077" s="58">
        <f>0.821-0.088-0.475-0.1-0.007</f>
        <v>0.151</v>
      </c>
      <c r="H1077" s="59" t="s">
        <v>195</v>
      </c>
      <c r="I1077" s="43">
        <f t="shared" si="32"/>
        <v>116500</v>
      </c>
      <c r="J1077" s="49">
        <f t="shared" si="33"/>
        <v>114500</v>
      </c>
      <c r="K1077" s="60">
        <v>107000</v>
      </c>
    </row>
    <row r="1078" spans="1:12" ht="12" customHeight="1">
      <c r="B1078" s="48">
        <v>1073</v>
      </c>
      <c r="C1078" s="56" t="s">
        <v>160</v>
      </c>
      <c r="D1078" s="56" t="s">
        <v>4</v>
      </c>
      <c r="E1078" s="56">
        <v>6.5</v>
      </c>
      <c r="F1078" s="57">
        <v>2550</v>
      </c>
      <c r="G1078" s="58">
        <f>0.16-0.001</f>
        <v>0.159</v>
      </c>
      <c r="H1078" s="59" t="s">
        <v>218</v>
      </c>
      <c r="I1078" s="43">
        <f t="shared" si="32"/>
        <v>128000</v>
      </c>
      <c r="J1078" s="49">
        <f t="shared" si="33"/>
        <v>126000</v>
      </c>
      <c r="K1078" s="60">
        <v>117700</v>
      </c>
      <c r="L1078"/>
    </row>
    <row r="1079" spans="1:12" ht="12" customHeight="1">
      <c r="B1079" s="48">
        <v>1074</v>
      </c>
      <c r="C1079" s="56" t="s">
        <v>160</v>
      </c>
      <c r="D1079" s="56" t="s">
        <v>4</v>
      </c>
      <c r="E1079" s="56">
        <v>10</v>
      </c>
      <c r="F1079" s="57">
        <v>3050</v>
      </c>
      <c r="G1079" s="58">
        <f>0.625-0.002-0.1-0.05-0.03-0.1-0.004-0.02-0.01-0.1-0.01-0.025-0.011-0.005-0.02-0.007-0.016</f>
        <v>0.11500000000000003</v>
      </c>
      <c r="H1079" s="59" t="s">
        <v>195</v>
      </c>
      <c r="I1079" s="43">
        <f t="shared" si="32"/>
        <v>122300</v>
      </c>
      <c r="J1079" s="49">
        <f t="shared" si="33"/>
        <v>120300</v>
      </c>
      <c r="K1079" s="60">
        <v>112400</v>
      </c>
      <c r="L1079" s="3"/>
    </row>
    <row r="1080" spans="1:12" ht="12" customHeight="1">
      <c r="B1080" s="48">
        <v>1075</v>
      </c>
      <c r="C1080" s="56" t="s">
        <v>160</v>
      </c>
      <c r="D1080" s="56" t="s">
        <v>4</v>
      </c>
      <c r="E1080" s="56">
        <v>12</v>
      </c>
      <c r="F1080" s="57">
        <v>3985</v>
      </c>
      <c r="G1080" s="58">
        <f>2.05-0.03-0.05-1.05-0.05-0.01-0.007-0.003-0.05-0.007-0.012-0.1-0.027-0.1</f>
        <v>0.55399999999999983</v>
      </c>
      <c r="H1080" s="59" t="s">
        <v>195</v>
      </c>
      <c r="I1080" s="43">
        <f t="shared" si="32"/>
        <v>92800</v>
      </c>
      <c r="J1080" s="49">
        <f t="shared" si="33"/>
        <v>90800</v>
      </c>
      <c r="K1080" s="60">
        <v>84800</v>
      </c>
      <c r="L1080" s="3"/>
    </row>
    <row r="1081" spans="1:12" ht="12" customHeight="1">
      <c r="B1081" s="48">
        <v>1076</v>
      </c>
      <c r="C1081" s="56" t="s">
        <v>160</v>
      </c>
      <c r="D1081" s="56" t="s">
        <v>4</v>
      </c>
      <c r="E1081" s="56">
        <v>12</v>
      </c>
      <c r="F1081" s="57">
        <v>4000</v>
      </c>
      <c r="G1081" s="58">
        <f>0.225-0.054-0.1</f>
        <v>7.1000000000000008E-2</v>
      </c>
      <c r="H1081" s="59" t="s">
        <v>195</v>
      </c>
      <c r="I1081" s="43">
        <f t="shared" si="32"/>
        <v>128000</v>
      </c>
      <c r="J1081" s="49">
        <f t="shared" si="33"/>
        <v>126000</v>
      </c>
      <c r="K1081" s="60">
        <v>117700</v>
      </c>
      <c r="L1081" s="3"/>
    </row>
    <row r="1082" spans="1:12" ht="12" customHeight="1">
      <c r="B1082" s="48">
        <v>1077</v>
      </c>
      <c r="C1082" s="56" t="s">
        <v>160</v>
      </c>
      <c r="D1082" s="56" t="s">
        <v>4</v>
      </c>
      <c r="E1082" s="56">
        <v>18</v>
      </c>
      <c r="F1082" s="57">
        <v>3040</v>
      </c>
      <c r="G1082" s="58">
        <f>2.09-0.35-0.006-0.012-0.012-0.018-0.1-0.012-0.006-0.006-0.018-0.012-0.096-0.025</f>
        <v>1.4169999999999996</v>
      </c>
      <c r="H1082" s="59" t="s">
        <v>195</v>
      </c>
      <c r="I1082" s="43">
        <f t="shared" si="32"/>
        <v>122300</v>
      </c>
      <c r="J1082" s="49">
        <f t="shared" si="33"/>
        <v>120300</v>
      </c>
      <c r="K1082" s="60">
        <v>112400</v>
      </c>
      <c r="L1082" s="3"/>
    </row>
    <row r="1083" spans="1:12" ht="12" customHeight="1">
      <c r="B1083" s="48">
        <v>1078</v>
      </c>
      <c r="C1083" s="56" t="s">
        <v>160</v>
      </c>
      <c r="D1083" s="56" t="s">
        <v>4</v>
      </c>
      <c r="E1083" s="56">
        <v>20</v>
      </c>
      <c r="F1083" s="57" t="s">
        <v>7</v>
      </c>
      <c r="G1083" s="58">
        <f>0.405-0.024-0.008-0.1-0.013-0.009-0.008-0.007-0.028-0.022-0.016-0.013-0.05</f>
        <v>0.10699999999999997</v>
      </c>
      <c r="H1083" s="59" t="s">
        <v>195</v>
      </c>
      <c r="I1083" s="43">
        <f t="shared" si="32"/>
        <v>122300</v>
      </c>
      <c r="J1083" s="49">
        <f t="shared" si="33"/>
        <v>120300</v>
      </c>
      <c r="K1083" s="60">
        <v>112400</v>
      </c>
      <c r="L1083" s="3"/>
    </row>
    <row r="1084" spans="1:12" customFormat="1" ht="12" customHeight="1">
      <c r="A1084" s="4"/>
      <c r="B1084" s="48">
        <v>1079</v>
      </c>
      <c r="C1084" s="67" t="s">
        <v>160</v>
      </c>
      <c r="D1084" s="76" t="s">
        <v>4</v>
      </c>
      <c r="E1084" s="80">
        <v>20</v>
      </c>
      <c r="F1084" s="68">
        <v>3900</v>
      </c>
      <c r="G1084" s="81">
        <f>0.42-0.008-0.035</f>
        <v>0.377</v>
      </c>
      <c r="H1084" s="69" t="s">
        <v>195</v>
      </c>
      <c r="I1084" s="43">
        <f t="shared" si="32"/>
        <v>92800</v>
      </c>
      <c r="J1084" s="49">
        <f t="shared" si="33"/>
        <v>90800</v>
      </c>
      <c r="K1084" s="82">
        <v>84800</v>
      </c>
      <c r="L1084" s="3"/>
    </row>
    <row r="1085" spans="1:12" ht="12" customHeight="1">
      <c r="B1085" s="48">
        <v>1080</v>
      </c>
      <c r="C1085" s="56" t="s">
        <v>160</v>
      </c>
      <c r="D1085" s="56" t="s">
        <v>4</v>
      </c>
      <c r="E1085" s="56">
        <v>39</v>
      </c>
      <c r="F1085" s="57">
        <v>3820</v>
      </c>
      <c r="G1085" s="58">
        <f>1.105-0.263-0.33-0.018</f>
        <v>0.49399999999999999</v>
      </c>
      <c r="H1085" s="59" t="s">
        <v>195</v>
      </c>
      <c r="I1085" s="43">
        <f t="shared" si="32"/>
        <v>122300</v>
      </c>
      <c r="J1085" s="49">
        <f t="shared" si="33"/>
        <v>120300</v>
      </c>
      <c r="K1085" s="60">
        <v>112400</v>
      </c>
      <c r="L1085"/>
    </row>
    <row r="1086" spans="1:12" ht="12" customHeight="1">
      <c r="B1086" s="48">
        <v>1081</v>
      </c>
      <c r="C1086" s="56" t="s">
        <v>160</v>
      </c>
      <c r="D1086" s="56" t="s">
        <v>4</v>
      </c>
      <c r="E1086" s="56">
        <v>39</v>
      </c>
      <c r="F1086" s="57">
        <v>4140</v>
      </c>
      <c r="G1086" s="58">
        <f>0.285-0.145</f>
        <v>0.13999999999999999</v>
      </c>
      <c r="H1086" s="59" t="s">
        <v>195</v>
      </c>
      <c r="I1086" s="43">
        <f t="shared" si="32"/>
        <v>122300</v>
      </c>
      <c r="J1086" s="49">
        <f t="shared" si="33"/>
        <v>120300</v>
      </c>
      <c r="K1086" s="60">
        <v>112400</v>
      </c>
      <c r="L1086" s="3"/>
    </row>
    <row r="1087" spans="1:12" ht="12" customHeight="1">
      <c r="B1087" s="48">
        <v>1082</v>
      </c>
      <c r="C1087" s="56" t="s">
        <v>160</v>
      </c>
      <c r="D1087" s="56" t="s">
        <v>4</v>
      </c>
      <c r="E1087" s="56">
        <v>45</v>
      </c>
      <c r="F1087" s="57">
        <v>1770</v>
      </c>
      <c r="G1087" s="58">
        <v>2.1999999999999999E-2</v>
      </c>
      <c r="H1087" s="59" t="s">
        <v>195</v>
      </c>
      <c r="I1087" s="43">
        <f t="shared" si="32"/>
        <v>107900</v>
      </c>
      <c r="J1087" s="49">
        <f t="shared" si="33"/>
        <v>105900</v>
      </c>
      <c r="K1087" s="60">
        <v>98900</v>
      </c>
      <c r="L1087" s="3"/>
    </row>
    <row r="1088" spans="1:12" s="5" customFormat="1" ht="12" customHeight="1">
      <c r="B1088" s="48">
        <v>1083</v>
      </c>
      <c r="C1088" s="56" t="s">
        <v>160</v>
      </c>
      <c r="D1088" s="56" t="s">
        <v>4</v>
      </c>
      <c r="E1088" s="56">
        <v>135</v>
      </c>
      <c r="F1088" s="57">
        <v>3055</v>
      </c>
      <c r="G1088" s="58">
        <v>0.36</v>
      </c>
      <c r="H1088" s="59" t="s">
        <v>195</v>
      </c>
      <c r="I1088" s="43">
        <f t="shared" si="32"/>
        <v>128000</v>
      </c>
      <c r="J1088" s="49">
        <f t="shared" si="33"/>
        <v>126000</v>
      </c>
      <c r="K1088" s="60">
        <v>117700</v>
      </c>
      <c r="L1088" s="3"/>
    </row>
    <row r="1089" spans="1:12" customFormat="1" ht="12" customHeight="1">
      <c r="A1089" s="4"/>
      <c r="B1089" s="48">
        <v>1084</v>
      </c>
      <c r="C1089" s="56" t="s">
        <v>160</v>
      </c>
      <c r="D1089" s="56" t="s">
        <v>4</v>
      </c>
      <c r="E1089" s="56">
        <v>160</v>
      </c>
      <c r="F1089" s="57">
        <v>1140</v>
      </c>
      <c r="G1089" s="58">
        <v>0.185</v>
      </c>
      <c r="H1089" s="59" t="s">
        <v>195</v>
      </c>
      <c r="I1089" s="43">
        <f t="shared" si="32"/>
        <v>128000</v>
      </c>
      <c r="J1089" s="49">
        <f t="shared" si="33"/>
        <v>126000</v>
      </c>
      <c r="K1089" s="60">
        <v>117700</v>
      </c>
      <c r="L1089" s="3"/>
    </row>
    <row r="1090" spans="1:12" s="5" customFormat="1" ht="12" customHeight="1">
      <c r="B1090" s="48">
        <v>1085</v>
      </c>
      <c r="C1090" s="56" t="s">
        <v>160</v>
      </c>
      <c r="D1090" s="56" t="s">
        <v>4</v>
      </c>
      <c r="E1090" s="56">
        <v>185</v>
      </c>
      <c r="F1090" s="57">
        <v>310</v>
      </c>
      <c r="G1090" s="58">
        <v>6.5000000000000002E-2</v>
      </c>
      <c r="H1090" s="59" t="s">
        <v>195</v>
      </c>
      <c r="I1090" s="43">
        <f t="shared" si="32"/>
        <v>128000</v>
      </c>
      <c r="J1090" s="49">
        <f t="shared" si="33"/>
        <v>126000</v>
      </c>
      <c r="K1090" s="60">
        <v>117700</v>
      </c>
      <c r="L1090"/>
    </row>
    <row r="1091" spans="1:12" ht="12" customHeight="1">
      <c r="B1091" s="48">
        <v>1086</v>
      </c>
      <c r="C1091" s="56" t="s">
        <v>160</v>
      </c>
      <c r="D1091" s="56" t="s">
        <v>4</v>
      </c>
      <c r="E1091" s="56">
        <v>185</v>
      </c>
      <c r="F1091" s="57">
        <v>1260</v>
      </c>
      <c r="G1091" s="58">
        <v>0.27</v>
      </c>
      <c r="H1091" s="59" t="s">
        <v>195</v>
      </c>
      <c r="I1091" s="43">
        <f t="shared" si="32"/>
        <v>128000</v>
      </c>
      <c r="J1091" s="49">
        <f t="shared" si="33"/>
        <v>126000</v>
      </c>
      <c r="K1091" s="60">
        <v>117700</v>
      </c>
      <c r="L1091" s="5"/>
    </row>
    <row r="1092" spans="1:12" ht="12" customHeight="1">
      <c r="B1092" s="48">
        <v>1087</v>
      </c>
      <c r="C1092" s="56" t="s">
        <v>161</v>
      </c>
      <c r="D1092" s="56" t="s">
        <v>4</v>
      </c>
      <c r="E1092" s="56">
        <v>7</v>
      </c>
      <c r="F1092" s="57">
        <v>3300</v>
      </c>
      <c r="G1092" s="58">
        <v>0.16</v>
      </c>
      <c r="H1092" s="59" t="s">
        <v>255</v>
      </c>
      <c r="I1092" s="43">
        <f t="shared" si="32"/>
        <v>88000</v>
      </c>
      <c r="J1092" s="49">
        <f t="shared" si="33"/>
        <v>86000</v>
      </c>
      <c r="K1092" s="60">
        <v>80300</v>
      </c>
      <c r="L1092" s="3"/>
    </row>
    <row r="1093" spans="1:12" ht="12" customHeight="1">
      <c r="B1093" s="48">
        <v>1088</v>
      </c>
      <c r="C1093" s="56" t="s">
        <v>161</v>
      </c>
      <c r="D1093" s="56" t="s">
        <v>4</v>
      </c>
      <c r="E1093" s="56">
        <v>10</v>
      </c>
      <c r="F1093" s="57">
        <v>1710</v>
      </c>
      <c r="G1093" s="58">
        <f>0.08-0.058</f>
        <v>2.1999999999999999E-2</v>
      </c>
      <c r="H1093" s="59" t="s">
        <v>218</v>
      </c>
      <c r="I1093" s="43">
        <f t="shared" si="32"/>
        <v>76500</v>
      </c>
      <c r="J1093" s="49">
        <f t="shared" si="33"/>
        <v>74500</v>
      </c>
      <c r="K1093" s="60">
        <v>69600</v>
      </c>
      <c r="L1093" s="3"/>
    </row>
    <row r="1094" spans="1:12" ht="12" customHeight="1">
      <c r="B1094" s="48">
        <v>1089</v>
      </c>
      <c r="C1094" s="56" t="s">
        <v>161</v>
      </c>
      <c r="D1094" s="56" t="s">
        <v>4</v>
      </c>
      <c r="E1094" s="56">
        <v>11</v>
      </c>
      <c r="F1094" s="57">
        <v>2600</v>
      </c>
      <c r="G1094" s="58">
        <v>1.4999999999999999E-2</v>
      </c>
      <c r="H1094" s="59"/>
      <c r="I1094" s="43">
        <f t="shared" ref="I1094:I1157" si="34">J1094+2000</f>
        <v>76500</v>
      </c>
      <c r="J1094" s="49">
        <f t="shared" si="33"/>
        <v>74500</v>
      </c>
      <c r="K1094" s="60">
        <v>69600</v>
      </c>
      <c r="L1094" s="3"/>
    </row>
    <row r="1095" spans="1:12" ht="12" customHeight="1">
      <c r="B1095" s="48">
        <v>1090</v>
      </c>
      <c r="C1095" s="56" t="s">
        <v>161</v>
      </c>
      <c r="D1095" s="56" t="s">
        <v>4</v>
      </c>
      <c r="E1095" s="56">
        <v>13</v>
      </c>
      <c r="F1095" s="57">
        <v>3000</v>
      </c>
      <c r="G1095" s="58">
        <v>0.61</v>
      </c>
      <c r="H1095" s="59" t="s">
        <v>218</v>
      </c>
      <c r="I1095" s="43">
        <f t="shared" si="34"/>
        <v>76500</v>
      </c>
      <c r="J1095" s="49">
        <f t="shared" ref="J1095:J1158" si="35">ROUNDUP(K1095*1.07,-2)</f>
        <v>74500</v>
      </c>
      <c r="K1095" s="60">
        <v>69600</v>
      </c>
      <c r="L1095" s="3"/>
    </row>
    <row r="1096" spans="1:12" ht="12" customHeight="1">
      <c r="B1096" s="48">
        <v>1091</v>
      </c>
      <c r="C1096" s="56" t="s">
        <v>161</v>
      </c>
      <c r="D1096" s="56" t="s">
        <v>4</v>
      </c>
      <c r="E1096" s="56">
        <v>13</v>
      </c>
      <c r="F1096" s="57">
        <v>4000</v>
      </c>
      <c r="G1096" s="58">
        <f>1.46-0.004</f>
        <v>1.456</v>
      </c>
      <c r="H1096" s="59" t="s">
        <v>218</v>
      </c>
      <c r="I1096" s="43">
        <f t="shared" si="34"/>
        <v>76500</v>
      </c>
      <c r="J1096" s="49">
        <f t="shared" si="35"/>
        <v>74500</v>
      </c>
      <c r="K1096" s="60">
        <v>69600</v>
      </c>
      <c r="L1096" s="3"/>
    </row>
    <row r="1097" spans="1:12" ht="12" customHeight="1">
      <c r="B1097" s="48">
        <v>1092</v>
      </c>
      <c r="C1097" s="56" t="s">
        <v>161</v>
      </c>
      <c r="D1097" s="56" t="s">
        <v>4</v>
      </c>
      <c r="E1097" s="56">
        <v>13</v>
      </c>
      <c r="F1097" s="57">
        <v>4000</v>
      </c>
      <c r="G1097" s="58">
        <v>1</v>
      </c>
      <c r="H1097" s="59" t="s">
        <v>218</v>
      </c>
      <c r="I1097" s="43">
        <f t="shared" si="34"/>
        <v>76500</v>
      </c>
      <c r="J1097" s="49">
        <f t="shared" si="35"/>
        <v>74500</v>
      </c>
      <c r="K1097" s="60">
        <v>69600</v>
      </c>
      <c r="L1097" s="5"/>
    </row>
    <row r="1098" spans="1:12" s="2" customFormat="1" ht="12" customHeight="1">
      <c r="B1098" s="48">
        <v>1093</v>
      </c>
      <c r="C1098" s="56" t="s">
        <v>161</v>
      </c>
      <c r="D1098" s="56" t="s">
        <v>4</v>
      </c>
      <c r="E1098" s="56">
        <v>13</v>
      </c>
      <c r="F1098" s="57">
        <v>4000</v>
      </c>
      <c r="G1098" s="58">
        <v>1.45</v>
      </c>
      <c r="H1098" s="59" t="s">
        <v>218</v>
      </c>
      <c r="I1098" s="43">
        <f t="shared" si="34"/>
        <v>76500</v>
      </c>
      <c r="J1098" s="49">
        <f t="shared" si="35"/>
        <v>74500</v>
      </c>
      <c r="K1098" s="60">
        <v>69600</v>
      </c>
      <c r="L1098" s="3"/>
    </row>
    <row r="1099" spans="1:12" ht="12" customHeight="1">
      <c r="B1099" s="48">
        <v>1094</v>
      </c>
      <c r="C1099" s="56" t="s">
        <v>161</v>
      </c>
      <c r="D1099" s="56" t="s">
        <v>4</v>
      </c>
      <c r="E1099" s="56">
        <v>14</v>
      </c>
      <c r="F1099" s="57">
        <v>4500</v>
      </c>
      <c r="G1099" s="58">
        <f>0.485-0.075</f>
        <v>0.41</v>
      </c>
      <c r="H1099" s="59" t="s">
        <v>218</v>
      </c>
      <c r="I1099" s="43">
        <f t="shared" si="34"/>
        <v>76500</v>
      </c>
      <c r="J1099" s="49">
        <f t="shared" si="35"/>
        <v>74500</v>
      </c>
      <c r="K1099" s="60">
        <v>69600</v>
      </c>
      <c r="L1099" s="2"/>
    </row>
    <row r="1100" spans="1:12" ht="12" customHeight="1">
      <c r="B1100" s="48">
        <v>1095</v>
      </c>
      <c r="C1100" s="56" t="s">
        <v>161</v>
      </c>
      <c r="D1100" s="56" t="s">
        <v>4</v>
      </c>
      <c r="E1100" s="56">
        <v>15</v>
      </c>
      <c r="F1100" s="57">
        <v>2860</v>
      </c>
      <c r="G1100" s="58">
        <v>1.57</v>
      </c>
      <c r="H1100" s="59" t="s">
        <v>218</v>
      </c>
      <c r="I1100" s="43">
        <f t="shared" si="34"/>
        <v>76500</v>
      </c>
      <c r="J1100" s="49">
        <f t="shared" si="35"/>
        <v>74500</v>
      </c>
      <c r="K1100" s="60">
        <v>69600</v>
      </c>
      <c r="L1100" s="3"/>
    </row>
    <row r="1101" spans="1:12" ht="12" customHeight="1">
      <c r="B1101" s="48">
        <v>1096</v>
      </c>
      <c r="C1101" s="56" t="s">
        <v>161</v>
      </c>
      <c r="D1101" s="56" t="s">
        <v>4</v>
      </c>
      <c r="E1101" s="56">
        <v>18</v>
      </c>
      <c r="F1101" s="57">
        <v>2400</v>
      </c>
      <c r="G1101" s="58">
        <v>7.0000000000000007E-2</v>
      </c>
      <c r="H1101" s="59"/>
      <c r="I1101" s="43">
        <f t="shared" si="34"/>
        <v>76500</v>
      </c>
      <c r="J1101" s="49">
        <f t="shared" si="35"/>
        <v>74500</v>
      </c>
      <c r="K1101" s="60">
        <v>69600</v>
      </c>
      <c r="L1101" s="3"/>
    </row>
    <row r="1102" spans="1:12" ht="12" customHeight="1">
      <c r="B1102" s="48">
        <v>1097</v>
      </c>
      <c r="C1102" s="56" t="s">
        <v>161</v>
      </c>
      <c r="D1102" s="56" t="s">
        <v>4</v>
      </c>
      <c r="E1102" s="56">
        <v>24</v>
      </c>
      <c r="F1102" s="57">
        <v>5800</v>
      </c>
      <c r="G1102" s="58">
        <v>2.3E-2</v>
      </c>
      <c r="H1102" s="59" t="s">
        <v>195</v>
      </c>
      <c r="I1102" s="43">
        <f t="shared" si="34"/>
        <v>76500</v>
      </c>
      <c r="J1102" s="49">
        <f t="shared" si="35"/>
        <v>74500</v>
      </c>
      <c r="K1102" s="60">
        <v>69600</v>
      </c>
      <c r="L1102" s="3"/>
    </row>
    <row r="1103" spans="1:12" ht="12" customHeight="1">
      <c r="B1103" s="48">
        <v>1098</v>
      </c>
      <c r="C1103" s="56" t="s">
        <v>161</v>
      </c>
      <c r="D1103" s="56" t="s">
        <v>4</v>
      </c>
      <c r="E1103" s="56">
        <v>25</v>
      </c>
      <c r="F1103" s="57">
        <v>1900</v>
      </c>
      <c r="G1103" s="58">
        <f>0.21-0.018</f>
        <v>0.192</v>
      </c>
      <c r="H1103" s="59" t="s">
        <v>195</v>
      </c>
      <c r="I1103" s="43">
        <f t="shared" si="34"/>
        <v>76500</v>
      </c>
      <c r="J1103" s="49">
        <f t="shared" si="35"/>
        <v>74500</v>
      </c>
      <c r="K1103" s="60">
        <v>69600</v>
      </c>
      <c r="L1103" s="3"/>
    </row>
    <row r="1104" spans="1:12" ht="12" customHeight="1">
      <c r="B1104" s="48">
        <v>1099</v>
      </c>
      <c r="C1104" s="56" t="s">
        <v>161</v>
      </c>
      <c r="D1104" s="56" t="s">
        <v>4</v>
      </c>
      <c r="E1104" s="56">
        <v>25</v>
      </c>
      <c r="F1104" s="57">
        <v>5450</v>
      </c>
      <c r="G1104" s="58">
        <v>0.85499999999999998</v>
      </c>
      <c r="H1104" s="59" t="s">
        <v>195</v>
      </c>
      <c r="I1104" s="43">
        <f t="shared" si="34"/>
        <v>76500</v>
      </c>
      <c r="J1104" s="49">
        <f t="shared" si="35"/>
        <v>74500</v>
      </c>
      <c r="K1104" s="60">
        <v>69600</v>
      </c>
      <c r="L1104" s="3"/>
    </row>
    <row r="1105" spans="2:12" ht="12" customHeight="1">
      <c r="B1105" s="48">
        <v>1100</v>
      </c>
      <c r="C1105" s="56" t="s">
        <v>161</v>
      </c>
      <c r="D1105" s="56" t="s">
        <v>4</v>
      </c>
      <c r="E1105" s="56">
        <v>27</v>
      </c>
      <c r="F1105" s="57" t="s">
        <v>162</v>
      </c>
      <c r="G1105" s="58">
        <v>2.5000000000000001E-2</v>
      </c>
      <c r="H1105" s="59"/>
      <c r="I1105" s="43">
        <f t="shared" si="34"/>
        <v>76500</v>
      </c>
      <c r="J1105" s="49">
        <f t="shared" si="35"/>
        <v>74500</v>
      </c>
      <c r="K1105" s="60">
        <v>69600</v>
      </c>
      <c r="L1105" s="3"/>
    </row>
    <row r="1106" spans="2:12" ht="12" customHeight="1">
      <c r="B1106" s="48">
        <v>1101</v>
      </c>
      <c r="C1106" s="56" t="s">
        <v>161</v>
      </c>
      <c r="D1106" s="56" t="s">
        <v>4</v>
      </c>
      <c r="E1106" s="56">
        <v>34</v>
      </c>
      <c r="F1106" s="57">
        <v>3820</v>
      </c>
      <c r="G1106" s="58">
        <v>2.7E-2</v>
      </c>
      <c r="H1106" s="59" t="s">
        <v>195</v>
      </c>
      <c r="I1106" s="43">
        <f t="shared" si="34"/>
        <v>76500</v>
      </c>
      <c r="J1106" s="49">
        <f t="shared" si="35"/>
        <v>74500</v>
      </c>
      <c r="K1106" s="60">
        <v>69600</v>
      </c>
      <c r="L1106" s="3"/>
    </row>
    <row r="1107" spans="2:12" ht="12" customHeight="1">
      <c r="B1107" s="48">
        <v>1102</v>
      </c>
      <c r="C1107" s="56" t="s">
        <v>161</v>
      </c>
      <c r="D1107" s="56" t="s">
        <v>4</v>
      </c>
      <c r="E1107" s="56">
        <v>35</v>
      </c>
      <c r="F1107" s="57">
        <v>5830</v>
      </c>
      <c r="G1107" s="58">
        <v>0.22</v>
      </c>
      <c r="H1107" s="59" t="s">
        <v>195</v>
      </c>
      <c r="I1107" s="43">
        <f t="shared" si="34"/>
        <v>76500</v>
      </c>
      <c r="J1107" s="49">
        <f t="shared" si="35"/>
        <v>74500</v>
      </c>
      <c r="K1107" s="60">
        <v>69600</v>
      </c>
      <c r="L1107" s="3"/>
    </row>
    <row r="1108" spans="2:12" ht="12" customHeight="1">
      <c r="B1108" s="48">
        <v>1103</v>
      </c>
      <c r="C1108" s="56" t="s">
        <v>161</v>
      </c>
      <c r="D1108" s="56" t="s">
        <v>4</v>
      </c>
      <c r="E1108" s="56">
        <v>41</v>
      </c>
      <c r="F1108" s="57">
        <v>1840</v>
      </c>
      <c r="G1108" s="58">
        <f>0.019+0.02+0.021+0.022</f>
        <v>8.199999999999999E-2</v>
      </c>
      <c r="H1108" s="59" t="s">
        <v>195</v>
      </c>
      <c r="I1108" s="43">
        <f t="shared" si="34"/>
        <v>76500</v>
      </c>
      <c r="J1108" s="49">
        <f t="shared" si="35"/>
        <v>74500</v>
      </c>
      <c r="K1108" s="60">
        <v>69600</v>
      </c>
      <c r="L1108" s="3"/>
    </row>
    <row r="1109" spans="2:12" ht="12" customHeight="1">
      <c r="B1109" s="48">
        <v>1104</v>
      </c>
      <c r="C1109" s="56" t="s">
        <v>161</v>
      </c>
      <c r="D1109" s="56" t="s">
        <v>4</v>
      </c>
      <c r="E1109" s="56">
        <v>41</v>
      </c>
      <c r="F1109" s="57">
        <v>2550</v>
      </c>
      <c r="G1109" s="58">
        <v>0.29499999999999998</v>
      </c>
      <c r="H1109" s="59" t="s">
        <v>195</v>
      </c>
      <c r="I1109" s="43">
        <f t="shared" si="34"/>
        <v>76500</v>
      </c>
      <c r="J1109" s="49">
        <f t="shared" si="35"/>
        <v>74500</v>
      </c>
      <c r="K1109" s="60">
        <v>69600</v>
      </c>
      <c r="L1109" s="3"/>
    </row>
    <row r="1110" spans="2:12" ht="12" customHeight="1">
      <c r="B1110" s="48">
        <v>1105</v>
      </c>
      <c r="C1110" s="56" t="s">
        <v>161</v>
      </c>
      <c r="D1110" s="56" t="s">
        <v>4</v>
      </c>
      <c r="E1110" s="56">
        <v>45</v>
      </c>
      <c r="F1110" s="57">
        <v>2990</v>
      </c>
      <c r="G1110" s="58">
        <v>0.16</v>
      </c>
      <c r="H1110" s="59" t="s">
        <v>195</v>
      </c>
      <c r="I1110" s="43">
        <f t="shared" si="34"/>
        <v>76500</v>
      </c>
      <c r="J1110" s="49">
        <f t="shared" si="35"/>
        <v>74500</v>
      </c>
      <c r="K1110" s="60">
        <v>69600</v>
      </c>
      <c r="L1110" s="3"/>
    </row>
    <row r="1111" spans="2:12" ht="12" customHeight="1">
      <c r="B1111" s="48">
        <v>1106</v>
      </c>
      <c r="C1111" s="56" t="s">
        <v>161</v>
      </c>
      <c r="D1111" s="56" t="s">
        <v>4</v>
      </c>
      <c r="E1111" s="56">
        <v>61</v>
      </c>
      <c r="F1111" s="57">
        <v>1590</v>
      </c>
      <c r="G1111" s="58">
        <f>1.085-0.45-0.11</f>
        <v>0.52500000000000002</v>
      </c>
      <c r="H1111" s="59" t="s">
        <v>195</v>
      </c>
      <c r="I1111" s="43">
        <f t="shared" si="34"/>
        <v>76500</v>
      </c>
      <c r="J1111" s="49">
        <f t="shared" si="35"/>
        <v>74500</v>
      </c>
      <c r="K1111" s="60">
        <v>69600</v>
      </c>
      <c r="L1111" s="3"/>
    </row>
    <row r="1112" spans="2:12" ht="12" customHeight="1">
      <c r="B1112" s="48">
        <v>1107</v>
      </c>
      <c r="C1112" s="56" t="s">
        <v>161</v>
      </c>
      <c r="D1112" s="56" t="s">
        <v>4</v>
      </c>
      <c r="E1112" s="56">
        <v>61</v>
      </c>
      <c r="F1112" s="57">
        <v>2670</v>
      </c>
      <c r="G1112" s="58">
        <v>0.06</v>
      </c>
      <c r="H1112" s="59" t="s">
        <v>195</v>
      </c>
      <c r="I1112" s="43">
        <f t="shared" si="34"/>
        <v>76500</v>
      </c>
      <c r="J1112" s="49">
        <f t="shared" si="35"/>
        <v>74500</v>
      </c>
      <c r="K1112" s="60">
        <v>69600</v>
      </c>
      <c r="L1112" s="3"/>
    </row>
    <row r="1113" spans="2:12" ht="12" customHeight="1">
      <c r="B1113" s="48">
        <v>1108</v>
      </c>
      <c r="C1113" s="56" t="s">
        <v>251</v>
      </c>
      <c r="D1113" s="56" t="s">
        <v>4</v>
      </c>
      <c r="E1113" s="56">
        <v>9.5</v>
      </c>
      <c r="F1113" s="57">
        <v>3200</v>
      </c>
      <c r="G1113" s="58">
        <v>0.155</v>
      </c>
      <c r="H1113" s="59" t="s">
        <v>195</v>
      </c>
      <c r="I1113" s="43" t="s">
        <v>269</v>
      </c>
      <c r="J1113" s="49" t="e">
        <f t="shared" si="35"/>
        <v>#VALUE!</v>
      </c>
      <c r="K1113" s="60" t="e">
        <v>#VALUE!</v>
      </c>
      <c r="L1113" s="3"/>
    </row>
    <row r="1114" spans="2:12" ht="12" customHeight="1">
      <c r="B1114" s="48">
        <v>1109</v>
      </c>
      <c r="C1114" s="56" t="s">
        <v>163</v>
      </c>
      <c r="D1114" s="56" t="s">
        <v>4</v>
      </c>
      <c r="E1114" s="56">
        <v>2</v>
      </c>
      <c r="F1114" s="57">
        <v>1500</v>
      </c>
      <c r="G1114" s="58">
        <f>0.035-0.021</f>
        <v>1.4000000000000002E-2</v>
      </c>
      <c r="H1114" s="59"/>
      <c r="I1114" s="43">
        <f t="shared" si="34"/>
        <v>1211100</v>
      </c>
      <c r="J1114" s="49">
        <f t="shared" si="35"/>
        <v>1209100</v>
      </c>
      <c r="K1114" s="60">
        <v>1130000</v>
      </c>
      <c r="L1114" s="3"/>
    </row>
    <row r="1115" spans="2:12" ht="12" customHeight="1">
      <c r="B1115" s="48">
        <v>1110</v>
      </c>
      <c r="C1115" s="56" t="s">
        <v>163</v>
      </c>
      <c r="D1115" s="56" t="s">
        <v>4</v>
      </c>
      <c r="E1115" s="56">
        <v>4</v>
      </c>
      <c r="F1115" s="57">
        <v>2515</v>
      </c>
      <c r="G1115" s="58">
        <f>0.12-0.046</f>
        <v>7.3999999999999996E-2</v>
      </c>
      <c r="H1115" s="59"/>
      <c r="I1115" s="43">
        <f t="shared" si="34"/>
        <v>1613100</v>
      </c>
      <c r="J1115" s="49">
        <f t="shared" si="35"/>
        <v>1611100</v>
      </c>
      <c r="K1115" s="60">
        <v>1505700</v>
      </c>
      <c r="L1115" s="3"/>
    </row>
    <row r="1116" spans="2:12" ht="12" customHeight="1">
      <c r="B1116" s="48">
        <v>1111</v>
      </c>
      <c r="C1116" s="56" t="s">
        <v>164</v>
      </c>
      <c r="D1116" s="56" t="s">
        <v>4</v>
      </c>
      <c r="E1116" s="56">
        <v>16</v>
      </c>
      <c r="F1116" s="57" t="s">
        <v>165</v>
      </c>
      <c r="G1116" s="58">
        <f>1.067-0.008-0.06-0.034-0.008-0.026-0.026-0.004-0.026-0.079-0.05-0.051</f>
        <v>0.69499999999999973</v>
      </c>
      <c r="H1116" s="59" t="s">
        <v>195</v>
      </c>
      <c r="I1116" s="43">
        <f t="shared" si="34"/>
        <v>1261400</v>
      </c>
      <c r="J1116" s="49">
        <f t="shared" si="35"/>
        <v>1259400</v>
      </c>
      <c r="K1116" s="60">
        <v>1177000</v>
      </c>
      <c r="L1116" s="3"/>
    </row>
    <row r="1117" spans="2:12" ht="12" customHeight="1">
      <c r="B1117" s="48">
        <v>1112</v>
      </c>
      <c r="C1117" s="56" t="s">
        <v>164</v>
      </c>
      <c r="D1117" s="56" t="s">
        <v>4</v>
      </c>
      <c r="E1117" s="56">
        <v>18</v>
      </c>
      <c r="F1117" s="57">
        <v>2865</v>
      </c>
      <c r="G1117" s="58">
        <f>0.275-0.031-0.031-0.019</f>
        <v>0.19400000000000003</v>
      </c>
      <c r="H1117" s="59" t="s">
        <v>195</v>
      </c>
      <c r="I1117" s="43">
        <f t="shared" si="34"/>
        <v>1261400</v>
      </c>
      <c r="J1117" s="49">
        <f t="shared" si="35"/>
        <v>1259400</v>
      </c>
      <c r="K1117" s="60">
        <v>1177000</v>
      </c>
      <c r="L1117" s="3"/>
    </row>
    <row r="1118" spans="2:12" ht="12" customHeight="1">
      <c r="B1118" s="48">
        <v>1113</v>
      </c>
      <c r="C1118" s="56" t="s">
        <v>196</v>
      </c>
      <c r="D1118" s="56" t="s">
        <v>4</v>
      </c>
      <c r="E1118" s="56">
        <v>23</v>
      </c>
      <c r="F1118" s="57">
        <v>4970</v>
      </c>
      <c r="G1118" s="58">
        <f>0.155-0.017-0.064-0.014</f>
        <v>6.0000000000000012E-2</v>
      </c>
      <c r="H1118" s="59" t="s">
        <v>195</v>
      </c>
      <c r="I1118" s="43">
        <f t="shared" si="34"/>
        <v>1261400</v>
      </c>
      <c r="J1118" s="49">
        <f t="shared" si="35"/>
        <v>1259400</v>
      </c>
      <c r="K1118" s="60">
        <v>1177000</v>
      </c>
      <c r="L1118" s="3"/>
    </row>
    <row r="1119" spans="2:12" ht="12" customHeight="1">
      <c r="B1119" s="48">
        <v>1114</v>
      </c>
      <c r="C1119" s="56" t="s">
        <v>207</v>
      </c>
      <c r="D1119" s="56" t="s">
        <v>4</v>
      </c>
      <c r="E1119" s="56">
        <v>75</v>
      </c>
      <c r="F1119" s="57">
        <v>2765</v>
      </c>
      <c r="G1119" s="58">
        <v>8.2000000000000003E-2</v>
      </c>
      <c r="H1119" s="59" t="s">
        <v>195</v>
      </c>
      <c r="I1119" s="43">
        <f t="shared" si="34"/>
        <v>1032500</v>
      </c>
      <c r="J1119" s="49">
        <f t="shared" si="35"/>
        <v>1030500</v>
      </c>
      <c r="K1119" s="60">
        <v>963000</v>
      </c>
      <c r="L1119" s="3"/>
    </row>
    <row r="1120" spans="2:12" ht="12" customHeight="1">
      <c r="B1120" s="48">
        <v>1115</v>
      </c>
      <c r="C1120" s="56" t="s">
        <v>166</v>
      </c>
      <c r="D1120" s="56" t="s">
        <v>4</v>
      </c>
      <c r="E1120" s="56">
        <v>102</v>
      </c>
      <c r="F1120" s="57">
        <v>1850</v>
      </c>
      <c r="G1120" s="58">
        <v>0.11799999999999999</v>
      </c>
      <c r="H1120" s="59" t="s">
        <v>195</v>
      </c>
      <c r="I1120" s="43">
        <f t="shared" si="34"/>
        <v>146300</v>
      </c>
      <c r="J1120" s="49">
        <f t="shared" si="35"/>
        <v>144300</v>
      </c>
      <c r="K1120" s="60">
        <v>134800</v>
      </c>
      <c r="L1120" s="3"/>
    </row>
    <row r="1121" spans="1:12" ht="12" customHeight="1">
      <c r="B1121" s="48">
        <v>1116</v>
      </c>
      <c r="C1121" s="56" t="s">
        <v>166</v>
      </c>
      <c r="D1121" s="56" t="s">
        <v>4</v>
      </c>
      <c r="E1121" s="56">
        <v>125</v>
      </c>
      <c r="F1121" s="57">
        <v>2350</v>
      </c>
      <c r="G1121" s="58">
        <v>0.22500000000000001</v>
      </c>
      <c r="H1121" s="59" t="s">
        <v>195</v>
      </c>
      <c r="I1121" s="43">
        <f t="shared" si="34"/>
        <v>146300</v>
      </c>
      <c r="J1121" s="49">
        <f t="shared" si="35"/>
        <v>144300</v>
      </c>
      <c r="K1121" s="60">
        <v>134800</v>
      </c>
      <c r="L1121" s="3"/>
    </row>
    <row r="1122" spans="1:12" s="24" customFormat="1" ht="12" customHeight="1">
      <c r="A1122" s="26"/>
      <c r="B1122" s="48">
        <v>1117</v>
      </c>
      <c r="C1122" s="56" t="s">
        <v>166</v>
      </c>
      <c r="D1122" s="56" t="s">
        <v>4</v>
      </c>
      <c r="E1122" s="56">
        <v>125</v>
      </c>
      <c r="F1122" s="57">
        <v>2160</v>
      </c>
      <c r="G1122" s="58">
        <v>0.20799999999999999</v>
      </c>
      <c r="H1122" s="59" t="s">
        <v>195</v>
      </c>
      <c r="I1122" s="43">
        <f t="shared" si="34"/>
        <v>146300</v>
      </c>
      <c r="J1122" s="49">
        <f t="shared" si="35"/>
        <v>144300</v>
      </c>
      <c r="K1122" s="60">
        <v>134800</v>
      </c>
    </row>
    <row r="1123" spans="1:12" ht="12" customHeight="1">
      <c r="B1123" s="48">
        <v>1118</v>
      </c>
      <c r="C1123" s="56" t="s">
        <v>166</v>
      </c>
      <c r="D1123" s="56" t="s">
        <v>4</v>
      </c>
      <c r="E1123" s="56">
        <v>140</v>
      </c>
      <c r="F1123" s="57" t="s">
        <v>167</v>
      </c>
      <c r="G1123" s="58">
        <v>1.26</v>
      </c>
      <c r="H1123" s="59" t="s">
        <v>195</v>
      </c>
      <c r="I1123" s="43">
        <f t="shared" si="34"/>
        <v>146300</v>
      </c>
      <c r="J1123" s="49">
        <f t="shared" si="35"/>
        <v>144300</v>
      </c>
      <c r="K1123" s="60">
        <v>134800</v>
      </c>
      <c r="L1123" s="3"/>
    </row>
    <row r="1124" spans="1:12" ht="12" customHeight="1">
      <c r="B1124" s="48">
        <v>1119</v>
      </c>
      <c r="C1124" s="56" t="s">
        <v>168</v>
      </c>
      <c r="D1124" s="56" t="s">
        <v>4</v>
      </c>
      <c r="E1124" s="56">
        <v>15</v>
      </c>
      <c r="F1124" s="57">
        <v>3945</v>
      </c>
      <c r="G1124" s="58">
        <f>0.66-0.025-0.027-0.005-0.021</f>
        <v>0.58199999999999996</v>
      </c>
      <c r="H1124" s="59" t="s">
        <v>195</v>
      </c>
      <c r="I1124" s="43">
        <f t="shared" si="34"/>
        <v>96500</v>
      </c>
      <c r="J1124" s="49">
        <f t="shared" si="35"/>
        <v>94500</v>
      </c>
      <c r="K1124" s="60">
        <v>88300</v>
      </c>
      <c r="L1124" s="3"/>
    </row>
    <row r="1125" spans="1:12" ht="12" customHeight="1">
      <c r="B1125" s="48">
        <v>1120</v>
      </c>
      <c r="C1125" s="56" t="s">
        <v>168</v>
      </c>
      <c r="D1125" s="56" t="s">
        <v>4</v>
      </c>
      <c r="E1125" s="56">
        <v>22</v>
      </c>
      <c r="F1125" s="57">
        <v>1810</v>
      </c>
      <c r="G1125" s="58">
        <f>0.71-0.1-0.007-0.013-0.15-0.025</f>
        <v>0.41499999999999992</v>
      </c>
      <c r="H1125" s="59" t="s">
        <v>195</v>
      </c>
      <c r="I1125" s="43">
        <f t="shared" si="34"/>
        <v>96500</v>
      </c>
      <c r="J1125" s="49">
        <f t="shared" si="35"/>
        <v>94500</v>
      </c>
      <c r="K1125" s="60">
        <v>88300</v>
      </c>
      <c r="L1125" s="3"/>
    </row>
    <row r="1126" spans="1:12" ht="12" customHeight="1">
      <c r="B1126" s="48">
        <v>1121</v>
      </c>
      <c r="C1126" s="56" t="s">
        <v>168</v>
      </c>
      <c r="D1126" s="56" t="s">
        <v>4</v>
      </c>
      <c r="E1126" s="56">
        <v>25</v>
      </c>
      <c r="F1126" s="57" t="s">
        <v>169</v>
      </c>
      <c r="G1126" s="58">
        <f>0.12-0.011-0.018-0.025-0.016-0.018</f>
        <v>3.2000000000000001E-2</v>
      </c>
      <c r="H1126" s="59" t="s">
        <v>195</v>
      </c>
      <c r="I1126" s="43">
        <f t="shared" si="34"/>
        <v>96500</v>
      </c>
      <c r="J1126" s="49">
        <f t="shared" si="35"/>
        <v>94500</v>
      </c>
      <c r="K1126" s="60">
        <v>88300</v>
      </c>
      <c r="L1126" s="3"/>
    </row>
    <row r="1127" spans="1:12" ht="12" customHeight="1">
      <c r="B1127" s="48">
        <v>1122</v>
      </c>
      <c r="C1127" s="56" t="s">
        <v>168</v>
      </c>
      <c r="D1127" s="56" t="s">
        <v>4</v>
      </c>
      <c r="E1127" s="56">
        <v>25</v>
      </c>
      <c r="F1127" s="57">
        <v>3600</v>
      </c>
      <c r="G1127" s="58">
        <f>0.51-0.014-0.012-0.14</f>
        <v>0.34399999999999997</v>
      </c>
      <c r="H1127" s="59" t="s">
        <v>195</v>
      </c>
      <c r="I1127" s="43">
        <f t="shared" si="34"/>
        <v>96500</v>
      </c>
      <c r="J1127" s="49">
        <f t="shared" si="35"/>
        <v>94500</v>
      </c>
      <c r="K1127" s="60">
        <v>88300</v>
      </c>
      <c r="L1127" s="3"/>
    </row>
    <row r="1128" spans="1:12" ht="12" customHeight="1">
      <c r="B1128" s="48">
        <v>1123</v>
      </c>
      <c r="C1128" s="56" t="s">
        <v>168</v>
      </c>
      <c r="D1128" s="56" t="s">
        <v>4</v>
      </c>
      <c r="E1128" s="56">
        <v>25</v>
      </c>
      <c r="F1128" s="57">
        <v>4800</v>
      </c>
      <c r="G1128" s="58">
        <f>0.58-0.018-0.034-0.055-0.018</f>
        <v>0.4549999999999999</v>
      </c>
      <c r="H1128" s="59" t="s">
        <v>195</v>
      </c>
      <c r="I1128" s="43">
        <f t="shared" si="34"/>
        <v>96500</v>
      </c>
      <c r="J1128" s="49">
        <f t="shared" si="35"/>
        <v>94500</v>
      </c>
      <c r="K1128" s="60">
        <v>88300</v>
      </c>
      <c r="L1128" s="3"/>
    </row>
    <row r="1129" spans="1:12" ht="12" customHeight="1">
      <c r="B1129" s="48">
        <v>1124</v>
      </c>
      <c r="C1129" s="56" t="s">
        <v>168</v>
      </c>
      <c r="D1129" s="56" t="s">
        <v>4</v>
      </c>
      <c r="E1129" s="56">
        <v>80</v>
      </c>
      <c r="F1129" s="57">
        <v>3460</v>
      </c>
      <c r="G1129" s="58">
        <v>0.13600000000000001</v>
      </c>
      <c r="H1129" s="59" t="s">
        <v>195</v>
      </c>
      <c r="I1129" s="43">
        <f t="shared" si="34"/>
        <v>96500</v>
      </c>
      <c r="J1129" s="49">
        <f t="shared" si="35"/>
        <v>94500</v>
      </c>
      <c r="K1129" s="60">
        <v>88300</v>
      </c>
      <c r="L1129" s="3"/>
    </row>
    <row r="1130" spans="1:12" ht="12" customHeight="1">
      <c r="B1130" s="48">
        <v>1125</v>
      </c>
      <c r="C1130" s="56" t="s">
        <v>168</v>
      </c>
      <c r="D1130" s="56" t="s">
        <v>4</v>
      </c>
      <c r="E1130" s="56">
        <v>85</v>
      </c>
      <c r="F1130" s="57">
        <v>2725</v>
      </c>
      <c r="G1130" s="58">
        <f>0.351-0.12</f>
        <v>0.23099999999999998</v>
      </c>
      <c r="H1130" s="59" t="s">
        <v>195</v>
      </c>
      <c r="I1130" s="43">
        <f t="shared" si="34"/>
        <v>96500</v>
      </c>
      <c r="J1130" s="49">
        <f t="shared" si="35"/>
        <v>94500</v>
      </c>
      <c r="K1130" s="60">
        <v>88300</v>
      </c>
      <c r="L1130" s="3"/>
    </row>
    <row r="1131" spans="1:12" ht="12" customHeight="1">
      <c r="B1131" s="48">
        <v>1126</v>
      </c>
      <c r="C1131" s="56" t="s">
        <v>168</v>
      </c>
      <c r="D1131" s="56" t="s">
        <v>4</v>
      </c>
      <c r="E1131" s="56">
        <v>140</v>
      </c>
      <c r="F1131" s="57">
        <v>4750</v>
      </c>
      <c r="G1131" s="58">
        <v>0.56599999999999995</v>
      </c>
      <c r="H1131" s="59" t="s">
        <v>195</v>
      </c>
      <c r="I1131" s="43">
        <f t="shared" si="34"/>
        <v>102800</v>
      </c>
      <c r="J1131" s="49">
        <f t="shared" si="35"/>
        <v>100800</v>
      </c>
      <c r="K1131" s="60">
        <v>94200</v>
      </c>
      <c r="L1131" s="3"/>
    </row>
    <row r="1132" spans="1:12" ht="12" customHeight="1">
      <c r="B1132" s="48">
        <v>1127</v>
      </c>
      <c r="C1132" s="56" t="s">
        <v>168</v>
      </c>
      <c r="D1132" s="56" t="s">
        <v>4</v>
      </c>
      <c r="E1132" s="56">
        <v>140</v>
      </c>
      <c r="F1132" s="57">
        <v>4900</v>
      </c>
      <c r="G1132" s="58">
        <v>0.58399999999999996</v>
      </c>
      <c r="H1132" s="59" t="s">
        <v>195</v>
      </c>
      <c r="I1132" s="43">
        <f t="shared" si="34"/>
        <v>102800</v>
      </c>
      <c r="J1132" s="49">
        <f t="shared" si="35"/>
        <v>100800</v>
      </c>
      <c r="K1132" s="60">
        <v>94200</v>
      </c>
      <c r="L1132" s="3"/>
    </row>
    <row r="1133" spans="1:12" ht="12" customHeight="1">
      <c r="B1133" s="48">
        <v>1128</v>
      </c>
      <c r="C1133" s="56" t="s">
        <v>168</v>
      </c>
      <c r="D1133" s="56" t="s">
        <v>4</v>
      </c>
      <c r="E1133" s="56">
        <v>240</v>
      </c>
      <c r="F1133" s="57">
        <v>740</v>
      </c>
      <c r="G1133" s="58">
        <v>0.25900000000000001</v>
      </c>
      <c r="H1133" s="59" t="s">
        <v>34</v>
      </c>
      <c r="I1133" s="43">
        <f t="shared" si="34"/>
        <v>122300</v>
      </c>
      <c r="J1133" s="49">
        <f t="shared" si="35"/>
        <v>120300</v>
      </c>
      <c r="K1133" s="60">
        <v>112400</v>
      </c>
      <c r="L1133" s="3"/>
    </row>
    <row r="1134" spans="1:12" ht="12" customHeight="1">
      <c r="B1134" s="48">
        <v>1129</v>
      </c>
      <c r="C1134" s="56" t="s">
        <v>303</v>
      </c>
      <c r="D1134" s="56" t="s">
        <v>4</v>
      </c>
      <c r="E1134" s="56">
        <v>375</v>
      </c>
      <c r="F1134" s="57">
        <v>680</v>
      </c>
      <c r="G1134" s="58">
        <v>0.71499999999999997</v>
      </c>
      <c r="H1134" s="59" t="s">
        <v>34</v>
      </c>
      <c r="I1134" s="43">
        <f t="shared" si="34"/>
        <v>168100</v>
      </c>
      <c r="J1134" s="49">
        <f t="shared" si="35"/>
        <v>166100</v>
      </c>
      <c r="K1134" s="60">
        <v>155200</v>
      </c>
      <c r="L1134" s="3"/>
    </row>
    <row r="1135" spans="1:12" ht="12" customHeight="1">
      <c r="B1135" s="48">
        <v>1130</v>
      </c>
      <c r="C1135" s="56" t="s">
        <v>303</v>
      </c>
      <c r="D1135" s="56" t="s">
        <v>4</v>
      </c>
      <c r="E1135" s="56">
        <v>380</v>
      </c>
      <c r="F1135" s="57">
        <v>670</v>
      </c>
      <c r="G1135" s="58">
        <v>0.70499999999999996</v>
      </c>
      <c r="H1135" s="59" t="s">
        <v>34</v>
      </c>
      <c r="I1135" s="43">
        <f t="shared" si="34"/>
        <v>168100</v>
      </c>
      <c r="J1135" s="49">
        <f t="shared" si="35"/>
        <v>166100</v>
      </c>
      <c r="K1135" s="60">
        <v>155200</v>
      </c>
      <c r="L1135" s="3"/>
    </row>
    <row r="1136" spans="1:12" ht="12" customHeight="1">
      <c r="B1136" s="48">
        <v>1131</v>
      </c>
      <c r="C1136" s="56" t="s">
        <v>170</v>
      </c>
      <c r="D1136" s="56" t="s">
        <v>4</v>
      </c>
      <c r="E1136" s="56">
        <v>10</v>
      </c>
      <c r="F1136" s="57">
        <v>2450</v>
      </c>
      <c r="G1136" s="58">
        <f>0.25-0.035</f>
        <v>0.215</v>
      </c>
      <c r="H1136" s="59" t="s">
        <v>218</v>
      </c>
      <c r="I1136" s="43">
        <f t="shared" si="34"/>
        <v>109200</v>
      </c>
      <c r="J1136" s="49">
        <f t="shared" si="35"/>
        <v>107200</v>
      </c>
      <c r="K1136" s="60">
        <v>100100</v>
      </c>
      <c r="L1136" s="3"/>
    </row>
    <row r="1137" spans="2:12" ht="12" customHeight="1">
      <c r="B1137" s="48">
        <v>1132</v>
      </c>
      <c r="C1137" s="56" t="s">
        <v>170</v>
      </c>
      <c r="D1137" s="56" t="s">
        <v>4</v>
      </c>
      <c r="E1137" s="56">
        <v>10</v>
      </c>
      <c r="F1137" s="57">
        <v>5500</v>
      </c>
      <c r="G1137" s="58">
        <v>0.42499999999999999</v>
      </c>
      <c r="H1137" s="59" t="s">
        <v>195</v>
      </c>
      <c r="I1137" s="43">
        <f t="shared" si="34"/>
        <v>76600</v>
      </c>
      <c r="J1137" s="49">
        <f t="shared" si="35"/>
        <v>74600</v>
      </c>
      <c r="K1137" s="60">
        <v>69700</v>
      </c>
      <c r="L1137" s="3"/>
    </row>
    <row r="1138" spans="2:12" ht="12" customHeight="1">
      <c r="B1138" s="48">
        <v>1133</v>
      </c>
      <c r="C1138" s="56" t="s">
        <v>170</v>
      </c>
      <c r="D1138" s="56" t="s">
        <v>4</v>
      </c>
      <c r="E1138" s="56">
        <v>12</v>
      </c>
      <c r="F1138" s="57">
        <v>1400</v>
      </c>
      <c r="G1138" s="58">
        <f>0.016-0.004-0.003</f>
        <v>9.0000000000000011E-3</v>
      </c>
      <c r="H1138" s="59" t="s">
        <v>195</v>
      </c>
      <c r="I1138" s="43">
        <f t="shared" si="34"/>
        <v>78400</v>
      </c>
      <c r="J1138" s="49">
        <f t="shared" si="35"/>
        <v>76400</v>
      </c>
      <c r="K1138" s="60">
        <v>71400</v>
      </c>
      <c r="L1138" s="3"/>
    </row>
    <row r="1139" spans="2:12" ht="12" customHeight="1">
      <c r="B1139" s="48">
        <v>1134</v>
      </c>
      <c r="C1139" s="56" t="s">
        <v>170</v>
      </c>
      <c r="D1139" s="56" t="s">
        <v>4</v>
      </c>
      <c r="E1139" s="56">
        <v>16</v>
      </c>
      <c r="F1139" s="57" t="s">
        <v>171</v>
      </c>
      <c r="G1139" s="58">
        <f>0.705-0.018-0.018-0.009-0.02-0.07-0.009-0.024</f>
        <v>0.53699999999999981</v>
      </c>
      <c r="H1139" s="59" t="s">
        <v>195</v>
      </c>
      <c r="I1139" s="43">
        <f t="shared" si="34"/>
        <v>96500</v>
      </c>
      <c r="J1139" s="49">
        <f t="shared" si="35"/>
        <v>94500</v>
      </c>
      <c r="K1139" s="60">
        <v>88300</v>
      </c>
      <c r="L1139" s="3"/>
    </row>
    <row r="1140" spans="2:12" ht="12" customHeight="1">
      <c r="B1140" s="48">
        <v>1135</v>
      </c>
      <c r="C1140" s="56" t="s">
        <v>170</v>
      </c>
      <c r="D1140" s="56" t="s">
        <v>4</v>
      </c>
      <c r="E1140" s="56">
        <v>35</v>
      </c>
      <c r="F1140" s="57">
        <v>3750</v>
      </c>
      <c r="G1140" s="58">
        <f>0.028+0.028+0.029-0.029</f>
        <v>5.6000000000000008E-2</v>
      </c>
      <c r="H1140" s="59" t="s">
        <v>195</v>
      </c>
      <c r="I1140" s="43">
        <f t="shared" si="34"/>
        <v>96500</v>
      </c>
      <c r="J1140" s="49">
        <f t="shared" si="35"/>
        <v>94500</v>
      </c>
      <c r="K1140" s="60">
        <v>88300</v>
      </c>
      <c r="L1140" s="3"/>
    </row>
    <row r="1141" spans="2:12" ht="12" customHeight="1">
      <c r="B1141" s="48">
        <v>1136</v>
      </c>
      <c r="C1141" s="56" t="s">
        <v>170</v>
      </c>
      <c r="D1141" s="56" t="s">
        <v>4</v>
      </c>
      <c r="E1141" s="56">
        <v>50</v>
      </c>
      <c r="F1141" s="57">
        <v>3670</v>
      </c>
      <c r="G1141" s="58">
        <f>0.355-0.05</f>
        <v>0.30499999999999999</v>
      </c>
      <c r="H1141" s="59" t="s">
        <v>195</v>
      </c>
      <c r="I1141" s="43">
        <f t="shared" si="34"/>
        <v>96500</v>
      </c>
      <c r="J1141" s="49">
        <f t="shared" si="35"/>
        <v>94500</v>
      </c>
      <c r="K1141" s="60">
        <v>88300</v>
      </c>
      <c r="L1141" s="3"/>
    </row>
    <row r="1142" spans="2:12" ht="12" customHeight="1">
      <c r="B1142" s="48">
        <v>1137</v>
      </c>
      <c r="C1142" s="56" t="s">
        <v>170</v>
      </c>
      <c r="D1142" s="56" t="s">
        <v>4</v>
      </c>
      <c r="E1142" s="56">
        <v>65</v>
      </c>
      <c r="F1142" s="57">
        <v>3655</v>
      </c>
      <c r="G1142" s="58">
        <v>0.92700000000000005</v>
      </c>
      <c r="H1142" s="59" t="s">
        <v>195</v>
      </c>
      <c r="I1142" s="43">
        <f t="shared" si="34"/>
        <v>96500</v>
      </c>
      <c r="J1142" s="49">
        <f t="shared" si="35"/>
        <v>94500</v>
      </c>
      <c r="K1142" s="60">
        <v>88300</v>
      </c>
      <c r="L1142" s="3"/>
    </row>
    <row r="1143" spans="2:12" ht="12" customHeight="1">
      <c r="B1143" s="48">
        <v>1138</v>
      </c>
      <c r="C1143" s="56" t="s">
        <v>170</v>
      </c>
      <c r="D1143" s="56" t="s">
        <v>4</v>
      </c>
      <c r="E1143" s="56">
        <v>70</v>
      </c>
      <c r="F1143" s="57">
        <v>3640</v>
      </c>
      <c r="G1143" s="58">
        <v>0.109</v>
      </c>
      <c r="H1143" s="59" t="s">
        <v>195</v>
      </c>
      <c r="I1143" s="43">
        <f t="shared" si="34"/>
        <v>96500</v>
      </c>
      <c r="J1143" s="49">
        <f t="shared" si="35"/>
        <v>94500</v>
      </c>
      <c r="K1143" s="60">
        <v>88300</v>
      </c>
      <c r="L1143" s="3"/>
    </row>
    <row r="1144" spans="2:12" ht="12" customHeight="1">
      <c r="B1144" s="48">
        <v>1139</v>
      </c>
      <c r="C1144" s="56" t="s">
        <v>170</v>
      </c>
      <c r="D1144" s="56" t="s">
        <v>4</v>
      </c>
      <c r="E1144" s="56">
        <v>70</v>
      </c>
      <c r="F1144" s="57">
        <v>3780</v>
      </c>
      <c r="G1144" s="58">
        <v>0.114</v>
      </c>
      <c r="H1144" s="59" t="s">
        <v>195</v>
      </c>
      <c r="I1144" s="43">
        <f t="shared" si="34"/>
        <v>96500</v>
      </c>
      <c r="J1144" s="49">
        <f t="shared" si="35"/>
        <v>94500</v>
      </c>
      <c r="K1144" s="60">
        <v>88300</v>
      </c>
      <c r="L1144" s="5"/>
    </row>
    <row r="1145" spans="2:12" ht="12" customHeight="1">
      <c r="B1145" s="48">
        <v>1140</v>
      </c>
      <c r="C1145" s="56" t="s">
        <v>170</v>
      </c>
      <c r="D1145" s="56" t="s">
        <v>4</v>
      </c>
      <c r="E1145" s="56">
        <v>70</v>
      </c>
      <c r="F1145" s="57">
        <v>3950</v>
      </c>
      <c r="G1145" s="58">
        <v>0.11899999999999999</v>
      </c>
      <c r="H1145" s="59" t="s">
        <v>195</v>
      </c>
      <c r="I1145" s="43">
        <f t="shared" si="34"/>
        <v>96500</v>
      </c>
      <c r="J1145" s="49">
        <f t="shared" si="35"/>
        <v>94500</v>
      </c>
      <c r="K1145" s="60">
        <v>88300</v>
      </c>
      <c r="L1145" s="3"/>
    </row>
    <row r="1146" spans="2:12" ht="12" customHeight="1">
      <c r="B1146" s="48">
        <v>1141</v>
      </c>
      <c r="C1146" s="56" t="s">
        <v>170</v>
      </c>
      <c r="D1146" s="56" t="s">
        <v>4</v>
      </c>
      <c r="E1146" s="56">
        <v>70</v>
      </c>
      <c r="F1146" s="57">
        <v>4050</v>
      </c>
      <c r="G1146" s="58">
        <v>0.41499999999999998</v>
      </c>
      <c r="H1146" s="59" t="s">
        <v>195</v>
      </c>
      <c r="I1146" s="43">
        <f t="shared" si="34"/>
        <v>96500</v>
      </c>
      <c r="J1146" s="49">
        <f t="shared" si="35"/>
        <v>94500</v>
      </c>
      <c r="K1146" s="60">
        <v>88300</v>
      </c>
      <c r="L1146" s="3"/>
    </row>
    <row r="1147" spans="2:12" ht="12" customHeight="1">
      <c r="B1147" s="48">
        <v>1142</v>
      </c>
      <c r="C1147" s="56" t="s">
        <v>170</v>
      </c>
      <c r="D1147" s="56" t="s">
        <v>4</v>
      </c>
      <c r="E1147" s="56">
        <v>80</v>
      </c>
      <c r="F1147" s="57">
        <v>2830</v>
      </c>
      <c r="G1147" s="58">
        <v>0.11</v>
      </c>
      <c r="H1147" s="59" t="s">
        <v>195</v>
      </c>
      <c r="I1147" s="43">
        <f t="shared" si="34"/>
        <v>96500</v>
      </c>
      <c r="J1147" s="49">
        <f t="shared" si="35"/>
        <v>94500</v>
      </c>
      <c r="K1147" s="60">
        <v>88300</v>
      </c>
      <c r="L1147" s="3"/>
    </row>
    <row r="1148" spans="2:12" ht="12" customHeight="1">
      <c r="B1148" s="48">
        <v>1143</v>
      </c>
      <c r="C1148" s="56" t="s">
        <v>170</v>
      </c>
      <c r="D1148" s="56" t="s">
        <v>4</v>
      </c>
      <c r="E1148" s="56">
        <v>80</v>
      </c>
      <c r="F1148" s="57">
        <v>2915</v>
      </c>
      <c r="G1148" s="58">
        <v>0.33500000000000002</v>
      </c>
      <c r="H1148" s="59" t="s">
        <v>195</v>
      </c>
      <c r="I1148" s="43">
        <f t="shared" si="34"/>
        <v>96500</v>
      </c>
      <c r="J1148" s="49">
        <f t="shared" si="35"/>
        <v>94500</v>
      </c>
      <c r="K1148" s="60">
        <v>88300</v>
      </c>
      <c r="L1148" s="3"/>
    </row>
    <row r="1149" spans="2:12" ht="12" customHeight="1">
      <c r="B1149" s="48">
        <v>1144</v>
      </c>
      <c r="C1149" s="56" t="s">
        <v>172</v>
      </c>
      <c r="D1149" s="56" t="s">
        <v>4</v>
      </c>
      <c r="E1149" s="56">
        <v>3</v>
      </c>
      <c r="F1149" s="57">
        <v>2100</v>
      </c>
      <c r="G1149" s="58">
        <v>0.37</v>
      </c>
      <c r="H1149" s="59"/>
      <c r="I1149" s="43">
        <f t="shared" si="34"/>
        <v>96500</v>
      </c>
      <c r="J1149" s="49">
        <f t="shared" si="35"/>
        <v>94500</v>
      </c>
      <c r="K1149" s="60">
        <v>88300</v>
      </c>
      <c r="L1149" s="3"/>
    </row>
    <row r="1150" spans="2:12" ht="12" customHeight="1">
      <c r="B1150" s="48">
        <v>1145</v>
      </c>
      <c r="C1150" s="56" t="s">
        <v>173</v>
      </c>
      <c r="D1150" s="56" t="s">
        <v>4</v>
      </c>
      <c r="E1150" s="56">
        <v>3</v>
      </c>
      <c r="F1150" s="57" t="s">
        <v>174</v>
      </c>
      <c r="G1150" s="58">
        <f>0.088-0.02-0.015-0.032-0.001</f>
        <v>1.999999999999999E-2</v>
      </c>
      <c r="H1150" s="59" t="s">
        <v>8</v>
      </c>
      <c r="I1150" s="43">
        <f t="shared" si="34"/>
        <v>123300</v>
      </c>
      <c r="J1150" s="49">
        <f t="shared" si="35"/>
        <v>121300</v>
      </c>
      <c r="K1150" s="60">
        <v>113300</v>
      </c>
      <c r="L1150" s="3"/>
    </row>
    <row r="1151" spans="2:12" ht="12" customHeight="1">
      <c r="B1151" s="48">
        <v>1146</v>
      </c>
      <c r="C1151" s="56" t="s">
        <v>173</v>
      </c>
      <c r="D1151" s="56" t="s">
        <v>4</v>
      </c>
      <c r="E1151" s="56">
        <v>14</v>
      </c>
      <c r="F1151" s="57">
        <v>2700</v>
      </c>
      <c r="G1151" s="58">
        <f>0.035-0.003</f>
        <v>3.2000000000000001E-2</v>
      </c>
      <c r="H1151" s="59" t="s">
        <v>218</v>
      </c>
      <c r="I1151" s="43">
        <f t="shared" si="34"/>
        <v>96500</v>
      </c>
      <c r="J1151" s="49">
        <f t="shared" si="35"/>
        <v>94500</v>
      </c>
      <c r="K1151" s="60">
        <v>88300</v>
      </c>
      <c r="L1151" s="3"/>
    </row>
    <row r="1152" spans="2:12" ht="12" customHeight="1">
      <c r="B1152" s="48">
        <v>1147</v>
      </c>
      <c r="C1152" s="56" t="s">
        <v>173</v>
      </c>
      <c r="D1152" s="56" t="s">
        <v>4</v>
      </c>
      <c r="E1152" s="56">
        <v>15</v>
      </c>
      <c r="F1152" s="57">
        <v>1335</v>
      </c>
      <c r="G1152" s="58">
        <f>0.018-0.007-0.003-0.002</f>
        <v>6.0000000000000001E-3</v>
      </c>
      <c r="H1152" s="59" t="s">
        <v>195</v>
      </c>
      <c r="I1152" s="43">
        <f t="shared" si="34"/>
        <v>96500</v>
      </c>
      <c r="J1152" s="49">
        <f t="shared" si="35"/>
        <v>94500</v>
      </c>
      <c r="K1152" s="60">
        <v>88300</v>
      </c>
      <c r="L1152" s="3"/>
    </row>
    <row r="1153" spans="1:12" ht="12" customHeight="1">
      <c r="B1153" s="48">
        <v>1148</v>
      </c>
      <c r="C1153" s="56" t="s">
        <v>173</v>
      </c>
      <c r="D1153" s="56" t="s">
        <v>4</v>
      </c>
      <c r="E1153" s="56">
        <v>35</v>
      </c>
      <c r="F1153" s="57">
        <v>2450</v>
      </c>
      <c r="G1153" s="58">
        <f>0.295-0.024-0.029-0.103</f>
        <v>0.13899999999999996</v>
      </c>
      <c r="H1153" s="59" t="s">
        <v>195</v>
      </c>
      <c r="I1153" s="43">
        <f t="shared" si="34"/>
        <v>96500</v>
      </c>
      <c r="J1153" s="49">
        <f t="shared" si="35"/>
        <v>94500</v>
      </c>
      <c r="K1153" s="60">
        <v>88300</v>
      </c>
      <c r="L1153" s="3"/>
    </row>
    <row r="1154" spans="1:12" ht="12" customHeight="1">
      <c r="B1154" s="48">
        <v>1149</v>
      </c>
      <c r="C1154" s="56" t="s">
        <v>173</v>
      </c>
      <c r="D1154" s="56" t="s">
        <v>4</v>
      </c>
      <c r="E1154" s="56">
        <v>35</v>
      </c>
      <c r="F1154" s="57">
        <v>2620</v>
      </c>
      <c r="G1154" s="58">
        <f>0.405-0.078</f>
        <v>0.32700000000000001</v>
      </c>
      <c r="H1154" s="59" t="s">
        <v>195</v>
      </c>
      <c r="I1154" s="43">
        <f t="shared" ref="I1154" si="36">J1154+2000</f>
        <v>96500</v>
      </c>
      <c r="J1154" s="49">
        <f t="shared" si="35"/>
        <v>94500</v>
      </c>
      <c r="K1154" s="60">
        <v>88300</v>
      </c>
      <c r="L1154" s="3"/>
    </row>
    <row r="1155" spans="1:12" ht="12" customHeight="1">
      <c r="B1155" s="48">
        <v>1150</v>
      </c>
      <c r="C1155" s="56" t="s">
        <v>173</v>
      </c>
      <c r="D1155" s="56" t="s">
        <v>4</v>
      </c>
      <c r="E1155" s="56">
        <v>65</v>
      </c>
      <c r="F1155" s="57">
        <v>3635</v>
      </c>
      <c r="G1155" s="58">
        <f>1.965-0.095-0.57-0.385-0.098-0.545-0.091-0.093</f>
        <v>8.8000000000000245E-2</v>
      </c>
      <c r="H1155" s="59" t="s">
        <v>195</v>
      </c>
      <c r="I1155" s="43">
        <f t="shared" si="34"/>
        <v>96500</v>
      </c>
      <c r="J1155" s="49">
        <f t="shared" si="35"/>
        <v>94500</v>
      </c>
      <c r="K1155" s="60">
        <v>88300</v>
      </c>
      <c r="L1155" s="3"/>
    </row>
    <row r="1156" spans="1:12" ht="12" customHeight="1">
      <c r="B1156" s="48">
        <v>1151</v>
      </c>
      <c r="C1156" s="56" t="s">
        <v>173</v>
      </c>
      <c r="D1156" s="56" t="s">
        <v>4</v>
      </c>
      <c r="E1156" s="56">
        <v>70</v>
      </c>
      <c r="F1156" s="57">
        <v>2790</v>
      </c>
      <c r="G1156" s="58">
        <f>1.085-0.083-0.083-0.083-0.084-0.084</f>
        <v>0.66800000000000015</v>
      </c>
      <c r="H1156" s="59" t="s">
        <v>195</v>
      </c>
      <c r="I1156" s="43">
        <f t="shared" si="34"/>
        <v>96500</v>
      </c>
      <c r="J1156" s="49">
        <f t="shared" si="35"/>
        <v>94500</v>
      </c>
      <c r="K1156" s="60">
        <v>88300</v>
      </c>
      <c r="L1156" s="3"/>
    </row>
    <row r="1157" spans="1:12" ht="12" customHeight="1">
      <c r="B1157" s="48">
        <v>1152</v>
      </c>
      <c r="C1157" s="56" t="s">
        <v>173</v>
      </c>
      <c r="D1157" s="56" t="s">
        <v>4</v>
      </c>
      <c r="E1157" s="56">
        <v>70</v>
      </c>
      <c r="F1157" s="68">
        <v>3670</v>
      </c>
      <c r="G1157" s="81">
        <v>0.53</v>
      </c>
      <c r="H1157" s="69" t="s">
        <v>195</v>
      </c>
      <c r="I1157" s="43">
        <f t="shared" si="34"/>
        <v>96500</v>
      </c>
      <c r="J1157" s="49">
        <f t="shared" si="35"/>
        <v>94500</v>
      </c>
      <c r="K1157" s="60">
        <v>88300</v>
      </c>
      <c r="L1157" s="3"/>
    </row>
    <row r="1158" spans="1:12" customFormat="1" ht="12" customHeight="1">
      <c r="A1158" s="4"/>
      <c r="B1158" s="48">
        <v>1153</v>
      </c>
      <c r="C1158" s="76" t="s">
        <v>173</v>
      </c>
      <c r="D1158" s="80" t="s">
        <v>4</v>
      </c>
      <c r="E1158" s="80">
        <v>70</v>
      </c>
      <c r="F1158" s="57">
        <v>3865</v>
      </c>
      <c r="G1158" s="58">
        <v>0.11600000000000001</v>
      </c>
      <c r="H1158" s="59" t="s">
        <v>195</v>
      </c>
      <c r="I1158" s="43">
        <f t="shared" ref="I1158:I1221" si="37">J1158+2000</f>
        <v>96500</v>
      </c>
      <c r="J1158" s="49">
        <f t="shared" si="35"/>
        <v>94500</v>
      </c>
      <c r="K1158" s="60">
        <v>88300</v>
      </c>
    </row>
    <row r="1159" spans="1:12" s="5" customFormat="1" ht="12" customHeight="1">
      <c r="B1159" s="48">
        <v>1154</v>
      </c>
      <c r="C1159" s="56" t="s">
        <v>173</v>
      </c>
      <c r="D1159" s="56" t="s">
        <v>4</v>
      </c>
      <c r="E1159" s="56">
        <v>76</v>
      </c>
      <c r="F1159" s="57">
        <v>1595</v>
      </c>
      <c r="G1159" s="58">
        <v>5.6000000000000001E-2</v>
      </c>
      <c r="H1159" s="59" t="s">
        <v>195</v>
      </c>
      <c r="I1159" s="43">
        <f t="shared" si="37"/>
        <v>102800</v>
      </c>
      <c r="J1159" s="49">
        <f t="shared" ref="J1159:J1222" si="38">ROUNDUP(K1159*1.07,-2)</f>
        <v>100800</v>
      </c>
      <c r="K1159" s="60">
        <v>94200</v>
      </c>
      <c r="L1159" s="3"/>
    </row>
    <row r="1160" spans="1:12" s="5" customFormat="1" ht="12" customHeight="1">
      <c r="B1160" s="48">
        <v>1155</v>
      </c>
      <c r="C1160" s="56" t="s">
        <v>173</v>
      </c>
      <c r="D1160" s="56" t="s">
        <v>4</v>
      </c>
      <c r="E1160" s="56">
        <v>79</v>
      </c>
      <c r="F1160" s="57">
        <v>3300</v>
      </c>
      <c r="G1160" s="58">
        <f>0.126+0.128+0.128+0.134</f>
        <v>0.51600000000000001</v>
      </c>
      <c r="H1160" s="59" t="s">
        <v>195</v>
      </c>
      <c r="I1160" s="43">
        <f t="shared" si="37"/>
        <v>96500</v>
      </c>
      <c r="J1160" s="49">
        <f t="shared" si="38"/>
        <v>94500</v>
      </c>
      <c r="K1160" s="60">
        <v>88300</v>
      </c>
      <c r="L1160" s="3"/>
    </row>
    <row r="1161" spans="1:12" customFormat="1" ht="12" customHeight="1">
      <c r="A1161" s="4"/>
      <c r="B1161" s="48">
        <v>1156</v>
      </c>
      <c r="C1161" s="67" t="s">
        <v>173</v>
      </c>
      <c r="D1161" s="80" t="s">
        <v>4</v>
      </c>
      <c r="E1161" s="80">
        <v>80</v>
      </c>
      <c r="F1161" s="57">
        <v>2815</v>
      </c>
      <c r="G1161" s="58">
        <f>1.11-0.244</f>
        <v>0.8660000000000001</v>
      </c>
      <c r="H1161" s="59" t="s">
        <v>195</v>
      </c>
      <c r="I1161" s="43">
        <f t="shared" si="37"/>
        <v>96500</v>
      </c>
      <c r="J1161" s="49">
        <f t="shared" si="38"/>
        <v>94500</v>
      </c>
      <c r="K1161" s="60">
        <v>88300</v>
      </c>
    </row>
    <row r="1162" spans="1:12" customFormat="1" ht="12" customHeight="1">
      <c r="A1162" s="4"/>
      <c r="B1162" s="48">
        <v>1157</v>
      </c>
      <c r="C1162" s="67" t="s">
        <v>173</v>
      </c>
      <c r="D1162" s="80" t="s">
        <v>4</v>
      </c>
      <c r="E1162" s="80">
        <v>80</v>
      </c>
      <c r="F1162" s="68">
        <v>2900</v>
      </c>
      <c r="G1162" s="81">
        <f>1.335-0.115</f>
        <v>1.22</v>
      </c>
      <c r="H1162" s="69" t="s">
        <v>195</v>
      </c>
      <c r="I1162" s="43">
        <f t="shared" si="37"/>
        <v>96500</v>
      </c>
      <c r="J1162" s="49">
        <f t="shared" si="38"/>
        <v>94500</v>
      </c>
      <c r="K1162" s="60">
        <v>88300</v>
      </c>
    </row>
    <row r="1163" spans="1:12" s="5" customFormat="1" ht="12" customHeight="1">
      <c r="B1163" s="48">
        <v>1158</v>
      </c>
      <c r="C1163" s="56" t="s">
        <v>173</v>
      </c>
      <c r="D1163" s="56" t="s">
        <v>4</v>
      </c>
      <c r="E1163" s="56">
        <v>80</v>
      </c>
      <c r="F1163" s="68">
        <v>3510</v>
      </c>
      <c r="G1163" s="81">
        <v>0.68500000000000005</v>
      </c>
      <c r="H1163" s="69" t="s">
        <v>195</v>
      </c>
      <c r="I1163" s="43">
        <f t="shared" si="37"/>
        <v>96500</v>
      </c>
      <c r="J1163" s="49">
        <f t="shared" si="38"/>
        <v>94500</v>
      </c>
      <c r="K1163" s="60">
        <v>88300</v>
      </c>
      <c r="L1163" s="3"/>
    </row>
    <row r="1164" spans="1:12" ht="12" customHeight="1">
      <c r="B1164" s="48">
        <v>1159</v>
      </c>
      <c r="C1164" s="74" t="s">
        <v>173</v>
      </c>
      <c r="D1164" s="74" t="s">
        <v>4</v>
      </c>
      <c r="E1164" s="56">
        <v>80</v>
      </c>
      <c r="F1164" s="57">
        <v>3740</v>
      </c>
      <c r="G1164" s="58">
        <v>0.14699999999999999</v>
      </c>
      <c r="H1164" s="59" t="s">
        <v>195</v>
      </c>
      <c r="I1164" s="43">
        <f t="shared" si="37"/>
        <v>96500</v>
      </c>
      <c r="J1164" s="49">
        <f t="shared" si="38"/>
        <v>94500</v>
      </c>
      <c r="K1164" s="60">
        <v>88300</v>
      </c>
      <c r="L1164" s="3"/>
    </row>
    <row r="1165" spans="1:12" ht="12" customHeight="1">
      <c r="B1165" s="48">
        <v>1160</v>
      </c>
      <c r="C1165" s="56" t="s">
        <v>173</v>
      </c>
      <c r="D1165" s="56" t="s">
        <v>4</v>
      </c>
      <c r="E1165" s="56">
        <v>80</v>
      </c>
      <c r="F1165" s="57">
        <v>3760</v>
      </c>
      <c r="G1165" s="58">
        <v>1.482</v>
      </c>
      <c r="H1165" s="59" t="s">
        <v>195</v>
      </c>
      <c r="I1165" s="43">
        <f t="shared" si="37"/>
        <v>96500</v>
      </c>
      <c r="J1165" s="49">
        <f t="shared" si="38"/>
        <v>94500</v>
      </c>
      <c r="K1165" s="60">
        <v>88300</v>
      </c>
      <c r="L1165" s="3"/>
    </row>
    <row r="1166" spans="1:12" ht="12" customHeight="1">
      <c r="B1166" s="48">
        <v>1161</v>
      </c>
      <c r="C1166" s="56" t="s">
        <v>173</v>
      </c>
      <c r="D1166" s="56" t="s">
        <v>4</v>
      </c>
      <c r="E1166" s="56">
        <v>80</v>
      </c>
      <c r="F1166" s="79">
        <v>3780</v>
      </c>
      <c r="G1166" s="81">
        <f>0.31-0.159</f>
        <v>0.151</v>
      </c>
      <c r="H1166" s="69" t="s">
        <v>195</v>
      </c>
      <c r="I1166" s="43">
        <f t="shared" si="37"/>
        <v>96500</v>
      </c>
      <c r="J1166" s="49">
        <f t="shared" si="38"/>
        <v>94500</v>
      </c>
      <c r="K1166" s="60">
        <v>88300</v>
      </c>
      <c r="L1166" s="3"/>
    </row>
    <row r="1167" spans="1:12" ht="12" customHeight="1">
      <c r="B1167" s="48">
        <v>1162</v>
      </c>
      <c r="C1167" s="56" t="s">
        <v>173</v>
      </c>
      <c r="D1167" s="56" t="s">
        <v>4</v>
      </c>
      <c r="E1167" s="56">
        <v>90</v>
      </c>
      <c r="F1167" s="57">
        <v>2130</v>
      </c>
      <c r="G1167" s="58">
        <v>0.106</v>
      </c>
      <c r="H1167" s="59" t="s">
        <v>195</v>
      </c>
      <c r="I1167" s="43">
        <f t="shared" si="37"/>
        <v>96500</v>
      </c>
      <c r="J1167" s="49">
        <f t="shared" si="38"/>
        <v>94500</v>
      </c>
      <c r="K1167" s="60">
        <v>88300</v>
      </c>
      <c r="L1167" s="3"/>
    </row>
    <row r="1168" spans="1:12" ht="12" customHeight="1">
      <c r="B1168" s="48">
        <v>1163</v>
      </c>
      <c r="C1168" s="56" t="s">
        <v>173</v>
      </c>
      <c r="D1168" s="56" t="s">
        <v>4</v>
      </c>
      <c r="E1168" s="56">
        <v>90</v>
      </c>
      <c r="F1168" s="57">
        <v>2955</v>
      </c>
      <c r="G1168" s="58">
        <v>0.14799999999999999</v>
      </c>
      <c r="H1168" s="59" t="s">
        <v>195</v>
      </c>
      <c r="I1168" s="43">
        <f t="shared" si="37"/>
        <v>96500</v>
      </c>
      <c r="J1168" s="49">
        <f t="shared" si="38"/>
        <v>94500</v>
      </c>
      <c r="K1168" s="60">
        <v>88300</v>
      </c>
      <c r="L1168" s="3"/>
    </row>
    <row r="1169" spans="2:12" ht="12" customHeight="1">
      <c r="B1169" s="48">
        <v>1164</v>
      </c>
      <c r="C1169" s="56" t="s">
        <v>173</v>
      </c>
      <c r="D1169" s="56" t="s">
        <v>4</v>
      </c>
      <c r="E1169" s="56">
        <v>100</v>
      </c>
      <c r="F1169" s="57">
        <v>4920</v>
      </c>
      <c r="G1169" s="58">
        <f>8.915-1.275</f>
        <v>7.6399999999999988</v>
      </c>
      <c r="H1169" s="59" t="s">
        <v>195</v>
      </c>
      <c r="I1169" s="43">
        <f t="shared" si="37"/>
        <v>96500</v>
      </c>
      <c r="J1169" s="49">
        <f t="shared" si="38"/>
        <v>94500</v>
      </c>
      <c r="K1169" s="60">
        <v>88300</v>
      </c>
      <c r="L1169" s="3"/>
    </row>
    <row r="1170" spans="2:12" ht="12" customHeight="1">
      <c r="B1170" s="48">
        <v>1165</v>
      </c>
      <c r="C1170" s="56" t="s">
        <v>173</v>
      </c>
      <c r="D1170" s="56" t="s">
        <v>4</v>
      </c>
      <c r="E1170" s="56">
        <v>120</v>
      </c>
      <c r="F1170" s="57">
        <v>1250</v>
      </c>
      <c r="G1170" s="58">
        <v>0.13</v>
      </c>
      <c r="H1170" s="59" t="s">
        <v>34</v>
      </c>
      <c r="I1170" s="43">
        <f t="shared" si="37"/>
        <v>102800</v>
      </c>
      <c r="J1170" s="49">
        <f t="shared" si="38"/>
        <v>100800</v>
      </c>
      <c r="K1170" s="60">
        <v>94200</v>
      </c>
      <c r="L1170" s="3"/>
    </row>
    <row r="1171" spans="2:12" ht="12" customHeight="1">
      <c r="B1171" s="48">
        <v>1166</v>
      </c>
      <c r="C1171" s="56" t="s">
        <v>264</v>
      </c>
      <c r="D1171" s="56" t="s">
        <v>4</v>
      </c>
      <c r="E1171" s="56">
        <v>127</v>
      </c>
      <c r="F1171" s="57">
        <v>2885</v>
      </c>
      <c r="G1171" s="58">
        <f>0.285+0.289+0.294+0.299+0.299+0.312</f>
        <v>1.7779999999999998</v>
      </c>
      <c r="H1171" s="59" t="s">
        <v>195</v>
      </c>
      <c r="I1171" s="43">
        <f t="shared" si="37"/>
        <v>102800</v>
      </c>
      <c r="J1171" s="49">
        <f t="shared" si="38"/>
        <v>100800</v>
      </c>
      <c r="K1171" s="60">
        <v>94200</v>
      </c>
      <c r="L1171" s="3"/>
    </row>
    <row r="1172" spans="2:12" ht="12" customHeight="1">
      <c r="B1172" s="48">
        <v>1167</v>
      </c>
      <c r="C1172" s="56" t="s">
        <v>173</v>
      </c>
      <c r="D1172" s="56" t="s">
        <v>4</v>
      </c>
      <c r="E1172" s="56">
        <v>130</v>
      </c>
      <c r="F1172" s="57">
        <v>3025</v>
      </c>
      <c r="G1172" s="58">
        <v>0.311</v>
      </c>
      <c r="H1172" s="59" t="s">
        <v>195</v>
      </c>
      <c r="I1172" s="43">
        <f t="shared" si="37"/>
        <v>102800</v>
      </c>
      <c r="J1172" s="49">
        <f t="shared" si="38"/>
        <v>100800</v>
      </c>
      <c r="K1172" s="60">
        <v>94200</v>
      </c>
      <c r="L1172" s="3"/>
    </row>
    <row r="1173" spans="2:12" ht="12" customHeight="1">
      <c r="B1173" s="48">
        <v>1168</v>
      </c>
      <c r="C1173" s="56" t="s">
        <v>173</v>
      </c>
      <c r="D1173" s="56" t="s">
        <v>4</v>
      </c>
      <c r="E1173" s="56">
        <v>150</v>
      </c>
      <c r="F1173" s="57">
        <v>2170</v>
      </c>
      <c r="G1173" s="58">
        <v>0.29499999999999998</v>
      </c>
      <c r="H1173" s="59" t="s">
        <v>195</v>
      </c>
      <c r="I1173" s="43">
        <f t="shared" si="37"/>
        <v>102800</v>
      </c>
      <c r="J1173" s="49">
        <f t="shared" si="38"/>
        <v>100800</v>
      </c>
      <c r="K1173" s="60">
        <v>94200</v>
      </c>
      <c r="L1173" s="3"/>
    </row>
    <row r="1174" spans="2:12" ht="12" customHeight="1">
      <c r="B1174" s="48">
        <v>1169</v>
      </c>
      <c r="C1174" s="56" t="s">
        <v>173</v>
      </c>
      <c r="D1174" s="56" t="s">
        <v>4</v>
      </c>
      <c r="E1174" s="56">
        <v>180</v>
      </c>
      <c r="F1174" s="57">
        <v>2145</v>
      </c>
      <c r="G1174" s="58">
        <v>0.42299999999999999</v>
      </c>
      <c r="H1174" s="59" t="s">
        <v>195</v>
      </c>
      <c r="I1174" s="43">
        <f t="shared" si="37"/>
        <v>102800</v>
      </c>
      <c r="J1174" s="49">
        <f t="shared" si="38"/>
        <v>100800</v>
      </c>
      <c r="K1174" s="60">
        <v>94200</v>
      </c>
      <c r="L1174" s="3"/>
    </row>
    <row r="1175" spans="2:12" ht="12" customHeight="1">
      <c r="B1175" s="48">
        <v>1170</v>
      </c>
      <c r="C1175" s="56" t="s">
        <v>173</v>
      </c>
      <c r="D1175" s="56" t="s">
        <v>4</v>
      </c>
      <c r="E1175" s="80">
        <v>180</v>
      </c>
      <c r="F1175" s="79">
        <v>3250</v>
      </c>
      <c r="G1175" s="81">
        <v>0.64</v>
      </c>
      <c r="H1175" s="69" t="s">
        <v>195</v>
      </c>
      <c r="I1175" s="43">
        <f t="shared" si="37"/>
        <v>102800</v>
      </c>
      <c r="J1175" s="49">
        <f t="shared" si="38"/>
        <v>100800</v>
      </c>
      <c r="K1175" s="60">
        <v>94200</v>
      </c>
      <c r="L1175" s="3"/>
    </row>
    <row r="1176" spans="2:12" ht="12" customHeight="1">
      <c r="B1176" s="48">
        <v>1171</v>
      </c>
      <c r="C1176" s="56" t="s">
        <v>173</v>
      </c>
      <c r="D1176" s="56" t="s">
        <v>4</v>
      </c>
      <c r="E1176" s="56">
        <v>190</v>
      </c>
      <c r="F1176" s="57">
        <v>1050</v>
      </c>
      <c r="G1176" s="58">
        <v>0.255</v>
      </c>
      <c r="H1176" s="59" t="s">
        <v>6</v>
      </c>
      <c r="I1176" s="43">
        <f t="shared" si="37"/>
        <v>102800</v>
      </c>
      <c r="J1176" s="49">
        <f t="shared" si="38"/>
        <v>100800</v>
      </c>
      <c r="K1176" s="60">
        <v>94200</v>
      </c>
      <c r="L1176" s="5"/>
    </row>
    <row r="1177" spans="2:12" ht="12" customHeight="1">
      <c r="B1177" s="48">
        <v>1172</v>
      </c>
      <c r="C1177" s="56" t="s">
        <v>173</v>
      </c>
      <c r="D1177" s="56" t="s">
        <v>4</v>
      </c>
      <c r="E1177" s="56">
        <v>190</v>
      </c>
      <c r="F1177" s="57">
        <v>1080</v>
      </c>
      <c r="G1177" s="58">
        <v>0.28000000000000003</v>
      </c>
      <c r="H1177" s="59" t="s">
        <v>6</v>
      </c>
      <c r="I1177" s="43">
        <f t="shared" si="37"/>
        <v>102800</v>
      </c>
      <c r="J1177" s="49">
        <f t="shared" si="38"/>
        <v>100800</v>
      </c>
      <c r="K1177" s="60">
        <v>94200</v>
      </c>
      <c r="L1177" s="3"/>
    </row>
    <row r="1178" spans="2:12" s="2" customFormat="1" ht="12" customHeight="1">
      <c r="B1178" s="48">
        <v>1173</v>
      </c>
      <c r="C1178" s="56" t="s">
        <v>173</v>
      </c>
      <c r="D1178" s="56" t="s">
        <v>4</v>
      </c>
      <c r="E1178" s="56">
        <v>190</v>
      </c>
      <c r="F1178" s="57">
        <v>1040</v>
      </c>
      <c r="G1178" s="58">
        <v>0.25</v>
      </c>
      <c r="H1178" s="59" t="s">
        <v>6</v>
      </c>
      <c r="I1178" s="43">
        <f t="shared" si="37"/>
        <v>102800</v>
      </c>
      <c r="J1178" s="49">
        <f t="shared" si="38"/>
        <v>100800</v>
      </c>
      <c r="K1178" s="60">
        <v>94200</v>
      </c>
    </row>
    <row r="1179" spans="2:12" s="2" customFormat="1" ht="12" customHeight="1">
      <c r="B1179" s="48">
        <v>1174</v>
      </c>
      <c r="C1179" s="56" t="s">
        <v>173</v>
      </c>
      <c r="D1179" s="56" t="s">
        <v>4</v>
      </c>
      <c r="E1179" s="56">
        <v>190</v>
      </c>
      <c r="F1179" s="57">
        <v>1040</v>
      </c>
      <c r="G1179" s="58">
        <v>0.26500000000000001</v>
      </c>
      <c r="H1179" s="59" t="s">
        <v>6</v>
      </c>
      <c r="I1179" s="43">
        <f t="shared" si="37"/>
        <v>102800</v>
      </c>
      <c r="J1179" s="49">
        <f t="shared" si="38"/>
        <v>100800</v>
      </c>
      <c r="K1179" s="60">
        <v>94200</v>
      </c>
    </row>
    <row r="1180" spans="2:12" s="2" customFormat="1" ht="12" customHeight="1">
      <c r="B1180" s="48">
        <v>1175</v>
      </c>
      <c r="C1180" s="56" t="s">
        <v>173</v>
      </c>
      <c r="D1180" s="56" t="s">
        <v>4</v>
      </c>
      <c r="E1180" s="56">
        <v>190</v>
      </c>
      <c r="F1180" s="57">
        <v>1530</v>
      </c>
      <c r="G1180" s="58">
        <v>0.37</v>
      </c>
      <c r="H1180" s="59" t="s">
        <v>6</v>
      </c>
      <c r="I1180" s="43">
        <f t="shared" si="37"/>
        <v>102800</v>
      </c>
      <c r="J1180" s="49">
        <f t="shared" si="38"/>
        <v>100800</v>
      </c>
      <c r="K1180" s="60">
        <v>94200</v>
      </c>
    </row>
    <row r="1181" spans="2:12" ht="12" customHeight="1">
      <c r="B1181" s="48">
        <v>1176</v>
      </c>
      <c r="C1181" s="56" t="s">
        <v>173</v>
      </c>
      <c r="D1181" s="56" t="s">
        <v>4</v>
      </c>
      <c r="E1181" s="56">
        <v>395</v>
      </c>
      <c r="F1181" s="57">
        <v>2050</v>
      </c>
      <c r="G1181" s="58">
        <v>2.19</v>
      </c>
      <c r="H1181" s="59" t="s">
        <v>6</v>
      </c>
      <c r="I1181" s="43">
        <f t="shared" si="37"/>
        <v>185200</v>
      </c>
      <c r="J1181" s="49">
        <f t="shared" si="38"/>
        <v>183200</v>
      </c>
      <c r="K1181" s="60">
        <v>171200</v>
      </c>
      <c r="L1181" s="3"/>
    </row>
    <row r="1182" spans="2:12" ht="12" customHeight="1">
      <c r="B1182" s="48">
        <v>1177</v>
      </c>
      <c r="C1182" s="56" t="s">
        <v>173</v>
      </c>
      <c r="D1182" s="56" t="s">
        <v>4</v>
      </c>
      <c r="E1182" s="56">
        <v>600</v>
      </c>
      <c r="F1182" s="57">
        <v>235</v>
      </c>
      <c r="G1182" s="58">
        <v>0.56000000000000005</v>
      </c>
      <c r="H1182" s="59" t="s">
        <v>6</v>
      </c>
      <c r="I1182" s="43">
        <f t="shared" si="37"/>
        <v>185200</v>
      </c>
      <c r="J1182" s="49">
        <f t="shared" si="38"/>
        <v>183200</v>
      </c>
      <c r="K1182" s="60">
        <v>171200</v>
      </c>
      <c r="L1182" s="5"/>
    </row>
    <row r="1183" spans="2:12" ht="12" customHeight="1">
      <c r="B1183" s="48">
        <v>1178</v>
      </c>
      <c r="C1183" s="56" t="s">
        <v>173</v>
      </c>
      <c r="D1183" s="56" t="s">
        <v>4</v>
      </c>
      <c r="E1183" s="56">
        <v>670</v>
      </c>
      <c r="F1183" s="57">
        <v>95</v>
      </c>
      <c r="G1183" s="58">
        <v>0.26</v>
      </c>
      <c r="H1183" s="59" t="s">
        <v>34</v>
      </c>
      <c r="I1183" s="43">
        <f t="shared" si="37"/>
        <v>168100</v>
      </c>
      <c r="J1183" s="49">
        <f t="shared" si="38"/>
        <v>166100</v>
      </c>
      <c r="K1183" s="60">
        <v>155200</v>
      </c>
      <c r="L1183" s="3"/>
    </row>
    <row r="1184" spans="2:12" ht="12" customHeight="1">
      <c r="B1184" s="48">
        <v>1179</v>
      </c>
      <c r="C1184" s="56" t="s">
        <v>173</v>
      </c>
      <c r="D1184" s="56" t="s">
        <v>4</v>
      </c>
      <c r="E1184" s="56">
        <v>670</v>
      </c>
      <c r="F1184" s="57">
        <v>100</v>
      </c>
      <c r="G1184" s="58">
        <v>0.27</v>
      </c>
      <c r="H1184" s="59" t="s">
        <v>34</v>
      </c>
      <c r="I1184" s="43">
        <f t="shared" si="37"/>
        <v>168100</v>
      </c>
      <c r="J1184" s="49">
        <f t="shared" si="38"/>
        <v>166100</v>
      </c>
      <c r="K1184" s="60">
        <v>155200</v>
      </c>
      <c r="L1184" s="3"/>
    </row>
    <row r="1185" spans="1:12" ht="12" customHeight="1">
      <c r="B1185" s="48">
        <v>1180</v>
      </c>
      <c r="C1185" s="56" t="s">
        <v>173</v>
      </c>
      <c r="D1185" s="56" t="s">
        <v>4</v>
      </c>
      <c r="E1185" s="56">
        <v>730</v>
      </c>
      <c r="F1185" s="57">
        <v>500</v>
      </c>
      <c r="G1185" s="58">
        <v>2.0049999999999999</v>
      </c>
      <c r="H1185" s="59" t="s">
        <v>6</v>
      </c>
      <c r="I1185" s="43">
        <f t="shared" si="37"/>
        <v>185200</v>
      </c>
      <c r="J1185" s="49">
        <f t="shared" si="38"/>
        <v>183200</v>
      </c>
      <c r="K1185" s="60">
        <v>171200</v>
      </c>
      <c r="L1185" s="3"/>
    </row>
    <row r="1186" spans="1:12" ht="12" customHeight="1">
      <c r="B1186" s="48">
        <v>1181</v>
      </c>
      <c r="C1186" s="56" t="s">
        <v>173</v>
      </c>
      <c r="D1186" s="56" t="s">
        <v>4</v>
      </c>
      <c r="E1186" s="56">
        <v>745</v>
      </c>
      <c r="F1186" s="57">
        <v>510</v>
      </c>
      <c r="G1186" s="58">
        <v>1.9450000000000001</v>
      </c>
      <c r="H1186" s="59" t="s">
        <v>6</v>
      </c>
      <c r="I1186" s="43">
        <f t="shared" si="37"/>
        <v>185200</v>
      </c>
      <c r="J1186" s="49">
        <f t="shared" si="38"/>
        <v>183200</v>
      </c>
      <c r="K1186" s="60">
        <v>171200</v>
      </c>
      <c r="L1186" s="3"/>
    </row>
    <row r="1187" spans="1:12" s="5" customFormat="1" ht="12" customHeight="1">
      <c r="B1187" s="48">
        <v>1182</v>
      </c>
      <c r="C1187" s="56" t="s">
        <v>173</v>
      </c>
      <c r="D1187" s="56" t="s">
        <v>4</v>
      </c>
      <c r="E1187" s="56">
        <v>745</v>
      </c>
      <c r="F1187" s="57">
        <v>510</v>
      </c>
      <c r="G1187" s="58">
        <v>2.0099999999999998</v>
      </c>
      <c r="H1187" s="59" t="s">
        <v>6</v>
      </c>
      <c r="I1187" s="43">
        <f t="shared" si="37"/>
        <v>185200</v>
      </c>
      <c r="J1187" s="49">
        <f t="shared" si="38"/>
        <v>183200</v>
      </c>
      <c r="K1187" s="60">
        <v>171200</v>
      </c>
      <c r="L1187" s="3"/>
    </row>
    <row r="1188" spans="1:12" s="5" customFormat="1" ht="12" customHeight="1">
      <c r="B1188" s="48">
        <v>1183</v>
      </c>
      <c r="C1188" s="56" t="s">
        <v>173</v>
      </c>
      <c r="D1188" s="56" t="s">
        <v>4</v>
      </c>
      <c r="E1188" s="56">
        <v>1000</v>
      </c>
      <c r="F1188" s="57">
        <v>150</v>
      </c>
      <c r="G1188" s="58">
        <v>1.01</v>
      </c>
      <c r="H1188" s="59" t="s">
        <v>6</v>
      </c>
      <c r="I1188" s="43">
        <f t="shared" si="37"/>
        <v>185200</v>
      </c>
      <c r="J1188" s="49">
        <f t="shared" si="38"/>
        <v>183200</v>
      </c>
      <c r="K1188" s="60">
        <v>171200</v>
      </c>
      <c r="L1188" s="3"/>
    </row>
    <row r="1189" spans="1:12" s="5" customFormat="1" ht="12" customHeight="1">
      <c r="B1189" s="48">
        <v>1184</v>
      </c>
      <c r="C1189" s="56" t="s">
        <v>173</v>
      </c>
      <c r="D1189" s="56" t="s">
        <v>4</v>
      </c>
      <c r="E1189" s="56">
        <v>1010</v>
      </c>
      <c r="F1189" s="57">
        <v>150</v>
      </c>
      <c r="G1189" s="58">
        <v>0.98499999999999999</v>
      </c>
      <c r="H1189" s="59" t="s">
        <v>6</v>
      </c>
      <c r="I1189" s="43">
        <f t="shared" si="37"/>
        <v>185200</v>
      </c>
      <c r="J1189" s="49">
        <f t="shared" si="38"/>
        <v>183200</v>
      </c>
      <c r="K1189" s="60">
        <v>171200</v>
      </c>
      <c r="L1189" s="3"/>
    </row>
    <row r="1190" spans="1:12" customFormat="1" ht="12" customHeight="1">
      <c r="A1190" s="4"/>
      <c r="B1190" s="48">
        <v>1185</v>
      </c>
      <c r="C1190" s="56" t="s">
        <v>173</v>
      </c>
      <c r="D1190" s="56" t="s">
        <v>4</v>
      </c>
      <c r="E1190" s="56">
        <v>1035</v>
      </c>
      <c r="F1190" s="57">
        <v>145</v>
      </c>
      <c r="G1190" s="58">
        <v>0.96</v>
      </c>
      <c r="H1190" s="59" t="s">
        <v>6</v>
      </c>
      <c r="I1190" s="43">
        <f t="shared" si="37"/>
        <v>185200</v>
      </c>
      <c r="J1190" s="49">
        <f t="shared" si="38"/>
        <v>183200</v>
      </c>
      <c r="K1190" s="60">
        <v>171200</v>
      </c>
      <c r="L1190" s="3"/>
    </row>
    <row r="1191" spans="1:12" customFormat="1" ht="12" customHeight="1">
      <c r="A1191" s="4"/>
      <c r="B1191" s="48">
        <v>1186</v>
      </c>
      <c r="C1191" s="56" t="s">
        <v>173</v>
      </c>
      <c r="D1191" s="56" t="s">
        <v>4</v>
      </c>
      <c r="E1191" s="56">
        <v>1035</v>
      </c>
      <c r="F1191" s="57">
        <v>155</v>
      </c>
      <c r="G1191" s="58">
        <v>0.98</v>
      </c>
      <c r="H1191" s="59" t="s">
        <v>6</v>
      </c>
      <c r="I1191" s="43">
        <f t="shared" si="37"/>
        <v>185200</v>
      </c>
      <c r="J1191" s="49">
        <f t="shared" si="38"/>
        <v>183200</v>
      </c>
      <c r="K1191" s="60">
        <v>171200</v>
      </c>
    </row>
    <row r="1192" spans="1:12" ht="12" customHeight="1">
      <c r="B1192" s="48">
        <v>1187</v>
      </c>
      <c r="C1192" s="56" t="s">
        <v>278</v>
      </c>
      <c r="D1192" s="56" t="s">
        <v>4</v>
      </c>
      <c r="E1192" s="56">
        <v>480</v>
      </c>
      <c r="F1192" s="57">
        <v>105</v>
      </c>
      <c r="G1192" s="58">
        <v>0.14000000000000001</v>
      </c>
      <c r="H1192" s="59" t="s">
        <v>34</v>
      </c>
      <c r="I1192" s="43">
        <f t="shared" si="37"/>
        <v>102800</v>
      </c>
      <c r="J1192" s="49">
        <f t="shared" si="38"/>
        <v>100800</v>
      </c>
      <c r="K1192" s="60">
        <v>94200</v>
      </c>
      <c r="L1192"/>
    </row>
    <row r="1193" spans="1:12" ht="12" customHeight="1">
      <c r="B1193" s="48">
        <v>1188</v>
      </c>
      <c r="C1193" s="56" t="s">
        <v>175</v>
      </c>
      <c r="D1193" s="56" t="s">
        <v>4</v>
      </c>
      <c r="E1193" s="56">
        <v>80</v>
      </c>
      <c r="F1193" s="57">
        <v>2955</v>
      </c>
      <c r="G1193" s="58">
        <v>0.11799999999999999</v>
      </c>
      <c r="H1193" s="59" t="s">
        <v>195</v>
      </c>
      <c r="I1193" s="43">
        <f t="shared" si="37"/>
        <v>96500</v>
      </c>
      <c r="J1193" s="49">
        <f t="shared" si="38"/>
        <v>94500</v>
      </c>
      <c r="K1193" s="60">
        <v>88300</v>
      </c>
      <c r="L1193" s="3"/>
    </row>
    <row r="1194" spans="1:12" ht="12" customHeight="1">
      <c r="B1194" s="48">
        <v>1189</v>
      </c>
      <c r="C1194" s="56" t="s">
        <v>175</v>
      </c>
      <c r="D1194" s="56" t="s">
        <v>4</v>
      </c>
      <c r="E1194" s="56">
        <v>80</v>
      </c>
      <c r="F1194" s="57">
        <v>2995</v>
      </c>
      <c r="G1194" s="58">
        <v>0.11799999999999999</v>
      </c>
      <c r="H1194" s="59" t="s">
        <v>195</v>
      </c>
      <c r="I1194" s="43">
        <f t="shared" si="37"/>
        <v>96500</v>
      </c>
      <c r="J1194" s="49">
        <f t="shared" si="38"/>
        <v>94500</v>
      </c>
      <c r="K1194" s="60">
        <v>88300</v>
      </c>
      <c r="L1194" s="3"/>
    </row>
    <row r="1195" spans="1:12" ht="12" customHeight="1">
      <c r="B1195" s="48">
        <v>1190</v>
      </c>
      <c r="C1195" s="56" t="s">
        <v>175</v>
      </c>
      <c r="D1195" s="56" t="s">
        <v>4</v>
      </c>
      <c r="E1195" s="56">
        <v>82</v>
      </c>
      <c r="F1195" s="57">
        <v>2920</v>
      </c>
      <c r="G1195" s="58">
        <v>0.12</v>
      </c>
      <c r="H1195" s="59" t="s">
        <v>195</v>
      </c>
      <c r="I1195" s="43">
        <f t="shared" si="37"/>
        <v>96500</v>
      </c>
      <c r="J1195" s="49">
        <f t="shared" si="38"/>
        <v>94500</v>
      </c>
      <c r="K1195" s="60">
        <v>88300</v>
      </c>
      <c r="L1195" s="5"/>
    </row>
    <row r="1196" spans="1:12" ht="12" customHeight="1">
      <c r="B1196" s="48">
        <v>1191</v>
      </c>
      <c r="C1196" s="56" t="s">
        <v>175</v>
      </c>
      <c r="D1196" s="56" t="s">
        <v>4</v>
      </c>
      <c r="E1196" s="56">
        <v>625</v>
      </c>
      <c r="F1196" s="57">
        <v>95</v>
      </c>
      <c r="G1196" s="58">
        <v>0.215</v>
      </c>
      <c r="H1196" s="59" t="s">
        <v>6</v>
      </c>
      <c r="I1196" s="43">
        <f t="shared" si="37"/>
        <v>102800</v>
      </c>
      <c r="J1196" s="49">
        <f t="shared" si="38"/>
        <v>100800</v>
      </c>
      <c r="K1196" s="60">
        <v>94200</v>
      </c>
      <c r="L1196" s="3"/>
    </row>
    <row r="1197" spans="1:12" ht="12" customHeight="1">
      <c r="B1197" s="48">
        <v>1192</v>
      </c>
      <c r="C1197" s="56" t="s">
        <v>252</v>
      </c>
      <c r="D1197" s="56" t="s">
        <v>4</v>
      </c>
      <c r="E1197" s="56">
        <v>70</v>
      </c>
      <c r="F1197" s="57">
        <v>2565</v>
      </c>
      <c r="G1197" s="58">
        <f>0.076+0.084</f>
        <v>0.16</v>
      </c>
      <c r="H1197" s="59" t="s">
        <v>195</v>
      </c>
      <c r="I1197" s="43">
        <f t="shared" si="37"/>
        <v>442900</v>
      </c>
      <c r="J1197" s="49">
        <f t="shared" si="38"/>
        <v>440900</v>
      </c>
      <c r="K1197" s="60">
        <v>412000</v>
      </c>
      <c r="L1197" s="3"/>
    </row>
    <row r="1198" spans="1:12" ht="12" customHeight="1">
      <c r="B1198" s="48">
        <v>1193</v>
      </c>
      <c r="C1198" s="56" t="s">
        <v>176</v>
      </c>
      <c r="D1198" s="56" t="s">
        <v>4</v>
      </c>
      <c r="E1198" s="56">
        <v>60</v>
      </c>
      <c r="F1198" s="57">
        <v>3100</v>
      </c>
      <c r="G1198" s="58">
        <f>0.335-0.137</f>
        <v>0.19800000000000001</v>
      </c>
      <c r="H1198" s="59" t="s">
        <v>195</v>
      </c>
      <c r="I1198" s="43">
        <f t="shared" si="37"/>
        <v>442900</v>
      </c>
      <c r="J1198" s="49">
        <f t="shared" si="38"/>
        <v>440900</v>
      </c>
      <c r="K1198" s="60">
        <v>412000</v>
      </c>
      <c r="L1198" s="3"/>
    </row>
    <row r="1199" spans="1:12" ht="12" customHeight="1">
      <c r="B1199" s="48">
        <v>1194</v>
      </c>
      <c r="C1199" s="56" t="s">
        <v>176</v>
      </c>
      <c r="D1199" s="56" t="s">
        <v>4</v>
      </c>
      <c r="E1199" s="56">
        <v>69</v>
      </c>
      <c r="F1199" s="57">
        <v>950</v>
      </c>
      <c r="G1199" s="58">
        <v>2.7E-2</v>
      </c>
      <c r="H1199" s="59" t="s">
        <v>195</v>
      </c>
      <c r="I1199" s="43">
        <f t="shared" si="37"/>
        <v>442900</v>
      </c>
      <c r="J1199" s="49">
        <f t="shared" si="38"/>
        <v>440900</v>
      </c>
      <c r="K1199" s="60">
        <v>412000</v>
      </c>
      <c r="L1199" s="3"/>
    </row>
    <row r="1200" spans="1:12" ht="12" customHeight="1">
      <c r="B1200" s="48">
        <v>1195</v>
      </c>
      <c r="C1200" s="56" t="s">
        <v>176</v>
      </c>
      <c r="D1200" s="56" t="s">
        <v>4</v>
      </c>
      <c r="E1200" s="56">
        <v>420</v>
      </c>
      <c r="F1200" s="57">
        <v>65</v>
      </c>
      <c r="G1200" s="58">
        <v>7.4999999999999997E-2</v>
      </c>
      <c r="H1200" s="59" t="s">
        <v>6</v>
      </c>
      <c r="I1200" s="43">
        <f t="shared" si="37"/>
        <v>442900</v>
      </c>
      <c r="J1200" s="49">
        <f t="shared" si="38"/>
        <v>440900</v>
      </c>
      <c r="K1200" s="60">
        <v>412000</v>
      </c>
      <c r="L1200" s="3"/>
    </row>
    <row r="1201" spans="2:12" ht="12" customHeight="1">
      <c r="B1201" s="48">
        <v>1196</v>
      </c>
      <c r="C1201" s="56" t="s">
        <v>176</v>
      </c>
      <c r="D1201" s="56" t="s">
        <v>4</v>
      </c>
      <c r="E1201" s="56">
        <v>420</v>
      </c>
      <c r="F1201" s="57">
        <v>100</v>
      </c>
      <c r="G1201" s="58">
        <v>0.115</v>
      </c>
      <c r="H1201" s="59" t="s">
        <v>34</v>
      </c>
      <c r="I1201" s="43">
        <f t="shared" si="37"/>
        <v>442900</v>
      </c>
      <c r="J1201" s="49">
        <f t="shared" si="38"/>
        <v>440900</v>
      </c>
      <c r="K1201" s="60">
        <v>412000</v>
      </c>
      <c r="L1201" s="3"/>
    </row>
    <row r="1202" spans="2:12" ht="12" customHeight="1">
      <c r="B1202" s="48">
        <v>1197</v>
      </c>
      <c r="C1202" s="56" t="s">
        <v>177</v>
      </c>
      <c r="D1202" s="56" t="s">
        <v>4</v>
      </c>
      <c r="E1202" s="56">
        <v>60</v>
      </c>
      <c r="F1202" s="57">
        <v>2140</v>
      </c>
      <c r="G1202" s="58">
        <f>0.925-0.067-0.32-0.132-0.066-0.106</f>
        <v>0.23400000000000004</v>
      </c>
      <c r="H1202" s="59" t="s">
        <v>195</v>
      </c>
      <c r="I1202" s="43">
        <f t="shared" si="37"/>
        <v>442900</v>
      </c>
      <c r="J1202" s="49">
        <f t="shared" si="38"/>
        <v>440900</v>
      </c>
      <c r="K1202" s="60">
        <v>412000</v>
      </c>
      <c r="L1202" s="3"/>
    </row>
    <row r="1203" spans="2:12" ht="12" customHeight="1">
      <c r="B1203" s="48">
        <v>1198</v>
      </c>
      <c r="C1203" s="56" t="s">
        <v>304</v>
      </c>
      <c r="D1203" s="56" t="s">
        <v>4</v>
      </c>
      <c r="E1203" s="56">
        <v>25</v>
      </c>
      <c r="F1203" s="57">
        <v>2065</v>
      </c>
      <c r="G1203" s="58">
        <v>4.2000000000000003E-2</v>
      </c>
      <c r="H1203" s="59" t="s">
        <v>195</v>
      </c>
      <c r="I1203" s="43">
        <f t="shared" si="37"/>
        <v>442900</v>
      </c>
      <c r="J1203" s="49">
        <f t="shared" si="38"/>
        <v>440900</v>
      </c>
      <c r="K1203" s="60">
        <v>412000</v>
      </c>
      <c r="L1203" s="5"/>
    </row>
    <row r="1204" spans="2:12" ht="12" customHeight="1">
      <c r="B1204" s="48">
        <v>1199</v>
      </c>
      <c r="C1204" s="74" t="s">
        <v>194</v>
      </c>
      <c r="D1204" s="74" t="s">
        <v>4</v>
      </c>
      <c r="E1204" s="74">
        <v>100</v>
      </c>
      <c r="F1204" s="77">
        <v>4020</v>
      </c>
      <c r="G1204" s="75">
        <v>0.247</v>
      </c>
      <c r="H1204" s="59" t="s">
        <v>307</v>
      </c>
      <c r="I1204" s="43">
        <f t="shared" si="37"/>
        <v>129300</v>
      </c>
      <c r="J1204" s="49">
        <f t="shared" si="38"/>
        <v>127300</v>
      </c>
      <c r="K1204" s="60">
        <v>118900</v>
      </c>
      <c r="L1204" s="3"/>
    </row>
    <row r="1205" spans="2:12" ht="12" customHeight="1">
      <c r="B1205" s="48">
        <v>1200</v>
      </c>
      <c r="C1205" s="74" t="s">
        <v>194</v>
      </c>
      <c r="D1205" s="74" t="s">
        <v>4</v>
      </c>
      <c r="E1205" s="74">
        <v>100</v>
      </c>
      <c r="F1205" s="77">
        <v>4130</v>
      </c>
      <c r="G1205" s="75">
        <v>0.254</v>
      </c>
      <c r="H1205" s="59" t="s">
        <v>307</v>
      </c>
      <c r="I1205" s="43">
        <f t="shared" si="37"/>
        <v>129300</v>
      </c>
      <c r="J1205" s="49">
        <f t="shared" si="38"/>
        <v>127300</v>
      </c>
      <c r="K1205" s="60">
        <v>118900</v>
      </c>
      <c r="L1205" s="3"/>
    </row>
    <row r="1206" spans="2:12" ht="12" customHeight="1">
      <c r="B1206" s="48">
        <v>1201</v>
      </c>
      <c r="C1206" s="56" t="s">
        <v>178</v>
      </c>
      <c r="D1206" s="56" t="s">
        <v>4</v>
      </c>
      <c r="E1206" s="56">
        <v>60</v>
      </c>
      <c r="F1206" s="57">
        <v>3430</v>
      </c>
      <c r="G1206" s="58">
        <v>1.294</v>
      </c>
      <c r="H1206" s="59" t="s">
        <v>195</v>
      </c>
      <c r="I1206" s="43">
        <f t="shared" si="37"/>
        <v>231000</v>
      </c>
      <c r="J1206" s="49">
        <f t="shared" si="38"/>
        <v>229000</v>
      </c>
      <c r="K1206" s="60">
        <v>214000</v>
      </c>
      <c r="L1206" s="3"/>
    </row>
    <row r="1207" spans="2:12" ht="12" customHeight="1">
      <c r="B1207" s="48">
        <v>1202</v>
      </c>
      <c r="C1207" s="67" t="s">
        <v>178</v>
      </c>
      <c r="D1207" s="76" t="s">
        <v>4</v>
      </c>
      <c r="E1207" s="80">
        <v>150</v>
      </c>
      <c r="F1207" s="68">
        <v>2000</v>
      </c>
      <c r="G1207" s="81">
        <v>0.27500000000000002</v>
      </c>
      <c r="H1207" s="69" t="s">
        <v>195</v>
      </c>
      <c r="I1207" s="43">
        <f t="shared" si="37"/>
        <v>231000</v>
      </c>
      <c r="J1207" s="49">
        <f t="shared" si="38"/>
        <v>229000</v>
      </c>
      <c r="K1207" s="82">
        <v>214000</v>
      </c>
      <c r="L1207" s="3"/>
    </row>
    <row r="1208" spans="2:12" ht="12" customHeight="1">
      <c r="B1208" s="48">
        <v>1203</v>
      </c>
      <c r="C1208" s="56" t="s">
        <v>178</v>
      </c>
      <c r="D1208" s="56" t="s">
        <v>4</v>
      </c>
      <c r="E1208" s="56">
        <v>270</v>
      </c>
      <c r="F1208" s="57">
        <v>1280</v>
      </c>
      <c r="G1208" s="58">
        <v>0.63600000000000001</v>
      </c>
      <c r="H1208" s="59" t="s">
        <v>256</v>
      </c>
      <c r="I1208" s="43">
        <f t="shared" si="37"/>
        <v>231000</v>
      </c>
      <c r="J1208" s="49">
        <f t="shared" si="38"/>
        <v>229000</v>
      </c>
      <c r="K1208" s="60">
        <v>214000</v>
      </c>
      <c r="L1208" s="3"/>
    </row>
    <row r="1209" spans="2:12" ht="12" customHeight="1">
      <c r="B1209" s="48">
        <v>1204</v>
      </c>
      <c r="C1209" s="56" t="s">
        <v>179</v>
      </c>
      <c r="D1209" s="56" t="s">
        <v>4</v>
      </c>
      <c r="E1209" s="56">
        <v>34</v>
      </c>
      <c r="F1209" s="57">
        <v>3200</v>
      </c>
      <c r="G1209" s="58">
        <f>0.605-0.023-0.21-0.045-0.21</f>
        <v>0.11700000000000002</v>
      </c>
      <c r="H1209" s="59" t="s">
        <v>195</v>
      </c>
      <c r="I1209" s="43">
        <f t="shared" si="37"/>
        <v>288300</v>
      </c>
      <c r="J1209" s="49">
        <f t="shared" si="38"/>
        <v>286300</v>
      </c>
      <c r="K1209" s="60">
        <v>267500</v>
      </c>
      <c r="L1209" s="3"/>
    </row>
    <row r="1210" spans="2:12" ht="12" customHeight="1">
      <c r="B1210" s="48">
        <v>1205</v>
      </c>
      <c r="C1210" s="56" t="s">
        <v>179</v>
      </c>
      <c r="D1210" s="56" t="s">
        <v>4</v>
      </c>
      <c r="E1210" s="56">
        <v>34</v>
      </c>
      <c r="F1210" s="57">
        <v>3180</v>
      </c>
      <c r="G1210" s="58">
        <v>2.1999999999999999E-2</v>
      </c>
      <c r="H1210" s="59" t="s">
        <v>195</v>
      </c>
      <c r="I1210" s="43">
        <f t="shared" si="37"/>
        <v>288300</v>
      </c>
      <c r="J1210" s="49">
        <f t="shared" si="38"/>
        <v>286300</v>
      </c>
      <c r="K1210" s="60">
        <v>267500</v>
      </c>
      <c r="L1210" s="3"/>
    </row>
    <row r="1211" spans="2:12" ht="12" customHeight="1">
      <c r="B1211" s="48">
        <v>1206</v>
      </c>
      <c r="C1211" s="56" t="s">
        <v>179</v>
      </c>
      <c r="D1211" s="56" t="s">
        <v>4</v>
      </c>
      <c r="E1211" s="56">
        <v>40</v>
      </c>
      <c r="F1211" s="57">
        <v>2395</v>
      </c>
      <c r="G1211" s="58">
        <v>0.21</v>
      </c>
      <c r="H1211" s="59" t="s">
        <v>280</v>
      </c>
      <c r="I1211" s="43">
        <f t="shared" si="37"/>
        <v>317000</v>
      </c>
      <c r="J1211" s="49">
        <f t="shared" si="38"/>
        <v>315000</v>
      </c>
      <c r="K1211" s="60">
        <v>294300</v>
      </c>
      <c r="L1211" s="2"/>
    </row>
    <row r="1212" spans="2:12" ht="12" customHeight="1">
      <c r="B1212" s="48">
        <v>1207</v>
      </c>
      <c r="C1212" s="56" t="s">
        <v>179</v>
      </c>
      <c r="D1212" s="56" t="s">
        <v>4</v>
      </c>
      <c r="E1212" s="56">
        <v>50</v>
      </c>
      <c r="F1212" s="57">
        <v>2815</v>
      </c>
      <c r="G1212" s="58">
        <v>0.46</v>
      </c>
      <c r="H1212" s="59" t="s">
        <v>280</v>
      </c>
      <c r="I1212" s="43">
        <f t="shared" si="37"/>
        <v>317000</v>
      </c>
      <c r="J1212" s="49">
        <f t="shared" si="38"/>
        <v>315000</v>
      </c>
      <c r="K1212" s="60">
        <v>294300</v>
      </c>
      <c r="L1212" s="3"/>
    </row>
    <row r="1213" spans="2:12" ht="12" customHeight="1">
      <c r="B1213" s="48">
        <v>1208</v>
      </c>
      <c r="C1213" s="56" t="s">
        <v>179</v>
      </c>
      <c r="D1213" s="56" t="s">
        <v>4</v>
      </c>
      <c r="E1213" s="56">
        <v>50</v>
      </c>
      <c r="F1213" s="57">
        <v>1685</v>
      </c>
      <c r="G1213" s="58">
        <v>2.5000000000000001E-2</v>
      </c>
      <c r="H1213" s="59" t="s">
        <v>195</v>
      </c>
      <c r="I1213" s="43">
        <f t="shared" si="37"/>
        <v>288300</v>
      </c>
      <c r="J1213" s="49">
        <f t="shared" si="38"/>
        <v>286300</v>
      </c>
      <c r="K1213" s="60">
        <v>267500</v>
      </c>
      <c r="L1213" s="5"/>
    </row>
    <row r="1214" spans="2:12" ht="12" customHeight="1">
      <c r="B1214" s="48">
        <v>1209</v>
      </c>
      <c r="C1214" s="56" t="s">
        <v>179</v>
      </c>
      <c r="D1214" s="56" t="s">
        <v>4</v>
      </c>
      <c r="E1214" s="56">
        <v>60</v>
      </c>
      <c r="F1214" s="57">
        <v>2680</v>
      </c>
      <c r="G1214" s="58">
        <v>5.8999999999999997E-2</v>
      </c>
      <c r="H1214" s="59" t="s">
        <v>280</v>
      </c>
      <c r="I1214" s="43">
        <f t="shared" si="37"/>
        <v>317000</v>
      </c>
      <c r="J1214" s="49">
        <f t="shared" si="38"/>
        <v>315000</v>
      </c>
      <c r="K1214" s="60">
        <v>294300</v>
      </c>
      <c r="L1214" s="3"/>
    </row>
    <row r="1215" spans="2:12" ht="12" customHeight="1">
      <c r="B1215" s="48">
        <v>1210</v>
      </c>
      <c r="C1215" s="56" t="s">
        <v>179</v>
      </c>
      <c r="D1215" s="56" t="s">
        <v>4</v>
      </c>
      <c r="E1215" s="56">
        <v>89</v>
      </c>
      <c r="F1215" s="57">
        <v>3210</v>
      </c>
      <c r="G1215" s="58">
        <f>1.265-0.205-0.39</f>
        <v>0.66999999999999982</v>
      </c>
      <c r="H1215" s="59" t="s">
        <v>195</v>
      </c>
      <c r="I1215" s="43">
        <f t="shared" si="37"/>
        <v>288300</v>
      </c>
      <c r="J1215" s="49">
        <f t="shared" si="38"/>
        <v>286300</v>
      </c>
      <c r="K1215" s="60">
        <v>267500</v>
      </c>
      <c r="L1215" s="3"/>
    </row>
    <row r="1216" spans="2:12" ht="12" customHeight="1">
      <c r="B1216" s="48">
        <v>1211</v>
      </c>
      <c r="C1216" s="56" t="s">
        <v>179</v>
      </c>
      <c r="D1216" s="56" t="s">
        <v>4</v>
      </c>
      <c r="E1216" s="56">
        <v>89</v>
      </c>
      <c r="F1216" s="57">
        <v>3950</v>
      </c>
      <c r="G1216" s="58">
        <f>0.395-0.205</f>
        <v>0.19000000000000003</v>
      </c>
      <c r="H1216" s="59" t="s">
        <v>195</v>
      </c>
      <c r="I1216" s="43">
        <f t="shared" si="37"/>
        <v>288300</v>
      </c>
      <c r="J1216" s="49">
        <f t="shared" si="38"/>
        <v>286300</v>
      </c>
      <c r="K1216" s="60">
        <v>267500</v>
      </c>
      <c r="L1216" s="3"/>
    </row>
    <row r="1217" spans="2:12" ht="12" customHeight="1">
      <c r="B1217" s="48">
        <v>1212</v>
      </c>
      <c r="C1217" s="56" t="s">
        <v>179</v>
      </c>
      <c r="D1217" s="56" t="s">
        <v>4</v>
      </c>
      <c r="E1217" s="56">
        <v>135</v>
      </c>
      <c r="F1217" s="57">
        <v>1865</v>
      </c>
      <c r="G1217" s="58">
        <v>0.23499999999999999</v>
      </c>
      <c r="H1217" s="59" t="s">
        <v>195</v>
      </c>
      <c r="I1217" s="43">
        <f t="shared" si="37"/>
        <v>288300</v>
      </c>
      <c r="J1217" s="49">
        <f t="shared" si="38"/>
        <v>286300</v>
      </c>
      <c r="K1217" s="60">
        <v>267500</v>
      </c>
      <c r="L1217" s="3"/>
    </row>
    <row r="1218" spans="2:12" ht="12" customHeight="1">
      <c r="B1218" s="48">
        <v>1213</v>
      </c>
      <c r="C1218" s="56" t="s">
        <v>179</v>
      </c>
      <c r="D1218" s="56" t="s">
        <v>4</v>
      </c>
      <c r="E1218" s="56">
        <v>135</v>
      </c>
      <c r="F1218" s="57">
        <v>1970</v>
      </c>
      <c r="G1218" s="58">
        <v>0.25</v>
      </c>
      <c r="H1218" s="59" t="s">
        <v>195</v>
      </c>
      <c r="I1218" s="43">
        <f t="shared" si="37"/>
        <v>288300</v>
      </c>
      <c r="J1218" s="49">
        <f t="shared" si="38"/>
        <v>286300</v>
      </c>
      <c r="K1218" s="60">
        <v>267500</v>
      </c>
      <c r="L1218" s="3"/>
    </row>
    <row r="1219" spans="2:12" ht="12" customHeight="1">
      <c r="B1219" s="48">
        <v>1214</v>
      </c>
      <c r="C1219" s="56" t="s">
        <v>179</v>
      </c>
      <c r="D1219" s="56" t="s">
        <v>4</v>
      </c>
      <c r="E1219" s="56">
        <v>138</v>
      </c>
      <c r="F1219" s="57">
        <v>3355</v>
      </c>
      <c r="G1219" s="58">
        <v>0.4</v>
      </c>
      <c r="H1219" s="59" t="s">
        <v>195</v>
      </c>
      <c r="I1219" s="43">
        <f t="shared" si="37"/>
        <v>288300</v>
      </c>
      <c r="J1219" s="49">
        <f t="shared" si="38"/>
        <v>286300</v>
      </c>
      <c r="K1219" s="60">
        <v>267500</v>
      </c>
      <c r="L1219" s="3"/>
    </row>
    <row r="1220" spans="2:12" ht="12" customHeight="1">
      <c r="B1220" s="48">
        <v>1215</v>
      </c>
      <c r="C1220" s="56" t="s">
        <v>179</v>
      </c>
      <c r="D1220" s="56" t="s">
        <v>4</v>
      </c>
      <c r="E1220" s="56">
        <v>140</v>
      </c>
      <c r="F1220" s="57">
        <v>4480</v>
      </c>
      <c r="G1220" s="58">
        <v>0.54100000000000004</v>
      </c>
      <c r="H1220" s="59" t="s">
        <v>195</v>
      </c>
      <c r="I1220" s="43">
        <f t="shared" si="37"/>
        <v>288300</v>
      </c>
      <c r="J1220" s="49">
        <f t="shared" si="38"/>
        <v>286300</v>
      </c>
      <c r="K1220" s="60">
        <v>267500</v>
      </c>
      <c r="L1220" s="3"/>
    </row>
    <row r="1221" spans="2:12" ht="12" customHeight="1">
      <c r="B1221" s="48">
        <v>1216</v>
      </c>
      <c r="C1221" s="56" t="s">
        <v>179</v>
      </c>
      <c r="D1221" s="56" t="s">
        <v>4</v>
      </c>
      <c r="E1221" s="56">
        <v>146</v>
      </c>
      <c r="F1221" s="57">
        <v>4225</v>
      </c>
      <c r="G1221" s="58">
        <v>0.57999999999999996</v>
      </c>
      <c r="H1221" s="59" t="s">
        <v>195</v>
      </c>
      <c r="I1221" s="43">
        <f t="shared" si="37"/>
        <v>288300</v>
      </c>
      <c r="J1221" s="49">
        <f t="shared" si="38"/>
        <v>286300</v>
      </c>
      <c r="K1221" s="60">
        <v>267500</v>
      </c>
      <c r="L1221" s="3"/>
    </row>
    <row r="1222" spans="2:12" ht="12" customHeight="1">
      <c r="B1222" s="48">
        <v>1217</v>
      </c>
      <c r="C1222" s="56" t="s">
        <v>179</v>
      </c>
      <c r="D1222" s="56" t="s">
        <v>4</v>
      </c>
      <c r="E1222" s="56">
        <v>170</v>
      </c>
      <c r="F1222" s="57">
        <v>1710</v>
      </c>
      <c r="G1222" s="58">
        <v>0.33500000000000002</v>
      </c>
      <c r="H1222" s="59" t="s">
        <v>34</v>
      </c>
      <c r="I1222" s="43">
        <f t="shared" ref="I1222:I1268" si="39">J1222+2000</f>
        <v>288300</v>
      </c>
      <c r="J1222" s="49">
        <f t="shared" si="38"/>
        <v>286300</v>
      </c>
      <c r="K1222" s="60">
        <v>267500</v>
      </c>
      <c r="L1222" s="3"/>
    </row>
    <row r="1223" spans="2:12" ht="12" customHeight="1">
      <c r="B1223" s="48">
        <v>1218</v>
      </c>
      <c r="C1223" s="56" t="s">
        <v>180</v>
      </c>
      <c r="D1223" s="56" t="s">
        <v>4</v>
      </c>
      <c r="E1223" s="56">
        <v>50</v>
      </c>
      <c r="F1223" s="57">
        <v>3370</v>
      </c>
      <c r="G1223" s="58">
        <f>0.485-0.057-0.105</f>
        <v>0.32300000000000001</v>
      </c>
      <c r="H1223" s="59" t="s">
        <v>195</v>
      </c>
      <c r="I1223" s="43">
        <f t="shared" si="39"/>
        <v>96500</v>
      </c>
      <c r="J1223" s="49">
        <f t="shared" ref="J1223:J1268" si="40">ROUNDUP(K1223*1.07,-2)</f>
        <v>94500</v>
      </c>
      <c r="K1223" s="60">
        <v>88300</v>
      </c>
      <c r="L1223" s="3"/>
    </row>
    <row r="1224" spans="2:12" ht="12" customHeight="1">
      <c r="B1224" s="48">
        <v>1219</v>
      </c>
      <c r="C1224" s="56" t="s">
        <v>180</v>
      </c>
      <c r="D1224" s="56" t="s">
        <v>4</v>
      </c>
      <c r="E1224" s="56">
        <v>75</v>
      </c>
      <c r="F1224" s="57">
        <v>2460</v>
      </c>
      <c r="G1224" s="58">
        <f>0.795</f>
        <v>0.79500000000000004</v>
      </c>
      <c r="H1224" s="59" t="s">
        <v>195</v>
      </c>
      <c r="I1224" s="43">
        <f t="shared" si="39"/>
        <v>96500</v>
      </c>
      <c r="J1224" s="49">
        <f t="shared" si="40"/>
        <v>94500</v>
      </c>
      <c r="K1224" s="60">
        <v>88300</v>
      </c>
      <c r="L1224" s="3"/>
    </row>
    <row r="1225" spans="2:12" ht="12" customHeight="1">
      <c r="B1225" s="48">
        <v>1220</v>
      </c>
      <c r="C1225" s="56" t="s">
        <v>180</v>
      </c>
      <c r="D1225" s="56" t="s">
        <v>4</v>
      </c>
      <c r="E1225" s="56">
        <v>80</v>
      </c>
      <c r="F1225" s="57">
        <v>920</v>
      </c>
      <c r="G1225" s="58">
        <v>3.5999999999999997E-2</v>
      </c>
      <c r="H1225" s="59" t="s">
        <v>195</v>
      </c>
      <c r="I1225" s="43">
        <f t="shared" si="39"/>
        <v>96500</v>
      </c>
      <c r="J1225" s="49">
        <f t="shared" si="40"/>
        <v>94500</v>
      </c>
      <c r="K1225" s="60">
        <v>88300</v>
      </c>
      <c r="L1225" s="3"/>
    </row>
    <row r="1226" spans="2:12" ht="12" customHeight="1">
      <c r="B1226" s="48">
        <v>1221</v>
      </c>
      <c r="C1226" s="56" t="s">
        <v>180</v>
      </c>
      <c r="D1226" s="56" t="s">
        <v>4</v>
      </c>
      <c r="E1226" s="56">
        <v>80</v>
      </c>
      <c r="F1226" s="57">
        <v>3430</v>
      </c>
      <c r="G1226" s="58">
        <v>0.13500000000000001</v>
      </c>
      <c r="H1226" s="59" t="s">
        <v>195</v>
      </c>
      <c r="I1226" s="43">
        <f t="shared" si="39"/>
        <v>96500</v>
      </c>
      <c r="J1226" s="49">
        <f t="shared" si="40"/>
        <v>94500</v>
      </c>
      <c r="K1226" s="60">
        <v>88300</v>
      </c>
      <c r="L1226" s="3"/>
    </row>
    <row r="1227" spans="2:12" ht="12" customHeight="1">
      <c r="B1227" s="48">
        <v>1222</v>
      </c>
      <c r="C1227" s="56" t="s">
        <v>180</v>
      </c>
      <c r="D1227" s="56" t="s">
        <v>4</v>
      </c>
      <c r="E1227" s="56">
        <v>80</v>
      </c>
      <c r="F1227" s="57">
        <v>2620</v>
      </c>
      <c r="G1227" s="58">
        <v>0.10299999999999999</v>
      </c>
      <c r="H1227" s="59" t="s">
        <v>195</v>
      </c>
      <c r="I1227" s="43">
        <f t="shared" si="39"/>
        <v>96500</v>
      </c>
      <c r="J1227" s="49">
        <f t="shared" si="40"/>
        <v>94500</v>
      </c>
      <c r="K1227" s="60">
        <v>88300</v>
      </c>
      <c r="L1227" s="3"/>
    </row>
    <row r="1228" spans="2:12" ht="12" customHeight="1">
      <c r="B1228" s="48">
        <v>1223</v>
      </c>
      <c r="C1228" s="56" t="s">
        <v>180</v>
      </c>
      <c r="D1228" s="56" t="s">
        <v>4</v>
      </c>
      <c r="E1228" s="56">
        <v>80</v>
      </c>
      <c r="F1228" s="57">
        <v>3470</v>
      </c>
      <c r="G1228" s="58">
        <v>0.53400000000000003</v>
      </c>
      <c r="H1228" s="59" t="s">
        <v>195</v>
      </c>
      <c r="I1228" s="43">
        <f t="shared" si="39"/>
        <v>96500</v>
      </c>
      <c r="J1228" s="49">
        <f t="shared" si="40"/>
        <v>94500</v>
      </c>
      <c r="K1228" s="60">
        <v>88300</v>
      </c>
      <c r="L1228" s="3"/>
    </row>
    <row r="1229" spans="2:12" ht="12" customHeight="1">
      <c r="B1229" s="48">
        <v>1224</v>
      </c>
      <c r="C1229" s="56" t="s">
        <v>180</v>
      </c>
      <c r="D1229" s="56" t="s">
        <v>4</v>
      </c>
      <c r="E1229" s="56">
        <v>110</v>
      </c>
      <c r="F1229" s="57">
        <v>3490</v>
      </c>
      <c r="G1229" s="58">
        <v>0.73199999999999998</v>
      </c>
      <c r="H1229" s="59" t="s">
        <v>195</v>
      </c>
      <c r="I1229" s="43">
        <f t="shared" si="39"/>
        <v>96500</v>
      </c>
      <c r="J1229" s="49">
        <f t="shared" si="40"/>
        <v>94500</v>
      </c>
      <c r="K1229" s="60">
        <v>88300</v>
      </c>
      <c r="L1229" s="3"/>
    </row>
    <row r="1230" spans="2:12" ht="12" customHeight="1">
      <c r="B1230" s="48">
        <v>1225</v>
      </c>
      <c r="C1230" s="56" t="s">
        <v>180</v>
      </c>
      <c r="D1230" s="56" t="s">
        <v>4</v>
      </c>
      <c r="E1230" s="56">
        <v>110</v>
      </c>
      <c r="F1230" s="57">
        <v>3300</v>
      </c>
      <c r="G1230" s="58">
        <v>0.245</v>
      </c>
      <c r="H1230" s="59" t="s">
        <v>195</v>
      </c>
      <c r="I1230" s="43">
        <f t="shared" si="39"/>
        <v>96500</v>
      </c>
      <c r="J1230" s="49">
        <f t="shared" si="40"/>
        <v>94500</v>
      </c>
      <c r="K1230" s="60">
        <v>88300</v>
      </c>
      <c r="L1230" s="3"/>
    </row>
    <row r="1231" spans="2:12" ht="12" customHeight="1">
      <c r="B1231" s="48">
        <v>1226</v>
      </c>
      <c r="C1231" s="56" t="s">
        <v>181</v>
      </c>
      <c r="D1231" s="56" t="s">
        <v>4</v>
      </c>
      <c r="E1231" s="56">
        <v>600</v>
      </c>
      <c r="F1231" s="57">
        <v>500</v>
      </c>
      <c r="G1231" s="58">
        <v>1.0349999999999999</v>
      </c>
      <c r="H1231" s="59" t="s">
        <v>219</v>
      </c>
      <c r="I1231" s="43">
        <f t="shared" si="39"/>
        <v>90200</v>
      </c>
      <c r="J1231" s="49">
        <f t="shared" si="40"/>
        <v>88200</v>
      </c>
      <c r="K1231" s="60">
        <v>82400</v>
      </c>
      <c r="L1231" s="3"/>
    </row>
    <row r="1232" spans="2:12" ht="12" customHeight="1">
      <c r="B1232" s="48">
        <v>1227</v>
      </c>
      <c r="C1232" s="56" t="s">
        <v>182</v>
      </c>
      <c r="D1232" s="56" t="s">
        <v>4</v>
      </c>
      <c r="E1232" s="56">
        <v>55</v>
      </c>
      <c r="F1232" s="57">
        <v>3770</v>
      </c>
      <c r="G1232" s="58">
        <v>6.9000000000000006E-2</v>
      </c>
      <c r="H1232" s="59" t="s">
        <v>195</v>
      </c>
      <c r="I1232" s="43">
        <f t="shared" si="39"/>
        <v>191000</v>
      </c>
      <c r="J1232" s="49">
        <f t="shared" si="40"/>
        <v>189000</v>
      </c>
      <c r="K1232" s="60">
        <v>176600</v>
      </c>
      <c r="L1232" s="3"/>
    </row>
    <row r="1233" spans="2:12" ht="12" customHeight="1">
      <c r="B1233" s="48">
        <v>1228</v>
      </c>
      <c r="C1233" s="56" t="s">
        <v>182</v>
      </c>
      <c r="D1233" s="56" t="s">
        <v>4</v>
      </c>
      <c r="E1233" s="56">
        <v>55</v>
      </c>
      <c r="F1233" s="57">
        <v>4250</v>
      </c>
      <c r="G1233" s="58">
        <f>0.975-0.21-0.3-0.078-0.147</f>
        <v>0.24000000000000002</v>
      </c>
      <c r="H1233" s="59" t="s">
        <v>195</v>
      </c>
      <c r="I1233" s="43">
        <f t="shared" si="39"/>
        <v>191000</v>
      </c>
      <c r="J1233" s="49">
        <f t="shared" si="40"/>
        <v>189000</v>
      </c>
      <c r="K1233" s="60">
        <v>176600</v>
      </c>
      <c r="L1233" s="3"/>
    </row>
    <row r="1234" spans="2:12" ht="12" customHeight="1">
      <c r="B1234" s="48">
        <v>1229</v>
      </c>
      <c r="C1234" s="56" t="s">
        <v>182</v>
      </c>
      <c r="D1234" s="56" t="s">
        <v>4</v>
      </c>
      <c r="E1234" s="56">
        <v>55</v>
      </c>
      <c r="F1234" s="57">
        <v>7500</v>
      </c>
      <c r="G1234" s="58">
        <v>4.6100000000000003</v>
      </c>
      <c r="H1234" s="59" t="s">
        <v>195</v>
      </c>
      <c r="I1234" s="43">
        <f t="shared" si="39"/>
        <v>191000</v>
      </c>
      <c r="J1234" s="49">
        <f t="shared" si="40"/>
        <v>189000</v>
      </c>
      <c r="K1234" s="60">
        <v>176600</v>
      </c>
      <c r="L1234" s="3"/>
    </row>
    <row r="1235" spans="2:12" ht="12" customHeight="1">
      <c r="B1235" s="48">
        <v>1230</v>
      </c>
      <c r="C1235" s="56" t="s">
        <v>182</v>
      </c>
      <c r="D1235" s="56" t="s">
        <v>4</v>
      </c>
      <c r="E1235" s="56">
        <v>55</v>
      </c>
      <c r="F1235" s="57">
        <v>7500</v>
      </c>
      <c r="G1235" s="58">
        <v>4.6100000000000003</v>
      </c>
      <c r="H1235" s="59" t="s">
        <v>195</v>
      </c>
      <c r="I1235" s="43">
        <f t="shared" si="39"/>
        <v>191000</v>
      </c>
      <c r="J1235" s="49">
        <f t="shared" si="40"/>
        <v>189000</v>
      </c>
      <c r="K1235" s="60">
        <v>176600</v>
      </c>
      <c r="L1235" s="3"/>
    </row>
    <row r="1236" spans="2:12" ht="12" customHeight="1">
      <c r="B1236" s="48">
        <v>1231</v>
      </c>
      <c r="C1236" s="56" t="s">
        <v>182</v>
      </c>
      <c r="D1236" s="56" t="s">
        <v>4</v>
      </c>
      <c r="E1236" s="56">
        <v>55</v>
      </c>
      <c r="F1236" s="57">
        <v>7500</v>
      </c>
      <c r="G1236" s="58">
        <v>4.6150000000000002</v>
      </c>
      <c r="H1236" s="59" t="s">
        <v>195</v>
      </c>
      <c r="I1236" s="43">
        <f t="shared" si="39"/>
        <v>191000</v>
      </c>
      <c r="J1236" s="49">
        <f t="shared" si="40"/>
        <v>189000</v>
      </c>
      <c r="K1236" s="60">
        <v>176600</v>
      </c>
      <c r="L1236" s="3"/>
    </row>
    <row r="1237" spans="2:12" ht="12" customHeight="1">
      <c r="B1237" s="48">
        <v>1232</v>
      </c>
      <c r="C1237" s="56" t="s">
        <v>182</v>
      </c>
      <c r="D1237" s="56" t="s">
        <v>4</v>
      </c>
      <c r="E1237" s="56">
        <v>55</v>
      </c>
      <c r="F1237" s="57">
        <v>7500</v>
      </c>
      <c r="G1237" s="58">
        <v>4.6150000000000002</v>
      </c>
      <c r="H1237" s="59" t="s">
        <v>195</v>
      </c>
      <c r="I1237" s="43">
        <f t="shared" si="39"/>
        <v>191000</v>
      </c>
      <c r="J1237" s="49">
        <f t="shared" si="40"/>
        <v>189000</v>
      </c>
      <c r="K1237" s="60">
        <v>176600</v>
      </c>
      <c r="L1237" s="3"/>
    </row>
    <row r="1238" spans="2:12" ht="12" customHeight="1">
      <c r="B1238" s="48">
        <v>1233</v>
      </c>
      <c r="C1238" s="56" t="s">
        <v>182</v>
      </c>
      <c r="D1238" s="56" t="s">
        <v>4</v>
      </c>
      <c r="E1238" s="56">
        <v>55</v>
      </c>
      <c r="F1238" s="57">
        <v>7500</v>
      </c>
      <c r="G1238" s="58">
        <v>4.6150000000000002</v>
      </c>
      <c r="H1238" s="59" t="s">
        <v>195</v>
      </c>
      <c r="I1238" s="43">
        <f t="shared" si="39"/>
        <v>191000</v>
      </c>
      <c r="J1238" s="49">
        <f t="shared" si="40"/>
        <v>189000</v>
      </c>
      <c r="K1238" s="60">
        <v>176600</v>
      </c>
      <c r="L1238" s="3"/>
    </row>
    <row r="1239" spans="2:12" ht="12" customHeight="1">
      <c r="B1239" s="48">
        <v>1234</v>
      </c>
      <c r="C1239" s="56" t="s">
        <v>182</v>
      </c>
      <c r="D1239" s="56" t="s">
        <v>4</v>
      </c>
      <c r="E1239" s="56">
        <v>55</v>
      </c>
      <c r="F1239" s="57">
        <v>7500</v>
      </c>
      <c r="G1239" s="58">
        <v>4.62</v>
      </c>
      <c r="H1239" s="59" t="s">
        <v>195</v>
      </c>
      <c r="I1239" s="43">
        <f t="shared" si="39"/>
        <v>191000</v>
      </c>
      <c r="J1239" s="49">
        <f t="shared" si="40"/>
        <v>189000</v>
      </c>
      <c r="K1239" s="60">
        <v>176600</v>
      </c>
      <c r="L1239" s="3"/>
    </row>
    <row r="1240" spans="2:12" ht="12" customHeight="1">
      <c r="B1240" s="48">
        <v>1235</v>
      </c>
      <c r="C1240" s="56" t="s">
        <v>182</v>
      </c>
      <c r="D1240" s="56" t="s">
        <v>4</v>
      </c>
      <c r="E1240" s="56">
        <v>55</v>
      </c>
      <c r="F1240" s="57">
        <v>7500</v>
      </c>
      <c r="G1240" s="58">
        <v>4.62</v>
      </c>
      <c r="H1240" s="59" t="s">
        <v>195</v>
      </c>
      <c r="I1240" s="43">
        <f t="shared" si="39"/>
        <v>191000</v>
      </c>
      <c r="J1240" s="49">
        <f t="shared" si="40"/>
        <v>189000</v>
      </c>
      <c r="K1240" s="60">
        <v>176600</v>
      </c>
      <c r="L1240" s="3"/>
    </row>
    <row r="1241" spans="2:12" ht="12" customHeight="1">
      <c r="B1241" s="48">
        <v>1236</v>
      </c>
      <c r="C1241" s="56" t="s">
        <v>182</v>
      </c>
      <c r="D1241" s="56" t="s">
        <v>4</v>
      </c>
      <c r="E1241" s="56">
        <v>55</v>
      </c>
      <c r="F1241" s="57">
        <v>7500</v>
      </c>
      <c r="G1241" s="58">
        <v>4.62</v>
      </c>
      <c r="H1241" s="59" t="s">
        <v>195</v>
      </c>
      <c r="I1241" s="43">
        <f t="shared" si="39"/>
        <v>191000</v>
      </c>
      <c r="J1241" s="49">
        <f t="shared" si="40"/>
        <v>189000</v>
      </c>
      <c r="K1241" s="60">
        <v>176600</v>
      </c>
      <c r="L1241" s="3"/>
    </row>
    <row r="1242" spans="2:12" ht="12" customHeight="1">
      <c r="B1242" s="48">
        <v>1237</v>
      </c>
      <c r="C1242" s="56" t="s">
        <v>182</v>
      </c>
      <c r="D1242" s="56" t="s">
        <v>4</v>
      </c>
      <c r="E1242" s="56">
        <v>55</v>
      </c>
      <c r="F1242" s="57">
        <v>7500</v>
      </c>
      <c r="G1242" s="58">
        <f>9.225-0.139</f>
        <v>9.0860000000000003</v>
      </c>
      <c r="H1242" s="59" t="s">
        <v>195</v>
      </c>
      <c r="I1242" s="43">
        <f t="shared" si="39"/>
        <v>191000</v>
      </c>
      <c r="J1242" s="49">
        <f t="shared" si="40"/>
        <v>189000</v>
      </c>
      <c r="K1242" s="60">
        <v>176600</v>
      </c>
      <c r="L1242" s="3"/>
    </row>
    <row r="1243" spans="2:12" ht="12" customHeight="1">
      <c r="B1243" s="48">
        <v>1238</v>
      </c>
      <c r="C1243" s="56" t="s">
        <v>182</v>
      </c>
      <c r="D1243" s="56" t="s">
        <v>4</v>
      </c>
      <c r="E1243" s="56">
        <v>56</v>
      </c>
      <c r="F1243" s="57">
        <v>3770</v>
      </c>
      <c r="G1243" s="58">
        <v>7.1999999999999995E-2</v>
      </c>
      <c r="H1243" s="59" t="s">
        <v>195</v>
      </c>
      <c r="I1243" s="43">
        <f t="shared" si="39"/>
        <v>191000</v>
      </c>
      <c r="J1243" s="49">
        <f t="shared" si="40"/>
        <v>189000</v>
      </c>
      <c r="K1243" s="60">
        <v>176600</v>
      </c>
      <c r="L1243" s="3"/>
    </row>
    <row r="1244" spans="2:12" ht="12" customHeight="1">
      <c r="B1244" s="48">
        <v>1239</v>
      </c>
      <c r="C1244" s="56" t="s">
        <v>182</v>
      </c>
      <c r="D1244" s="56" t="s">
        <v>4</v>
      </c>
      <c r="E1244" s="56">
        <v>65</v>
      </c>
      <c r="F1244" s="57">
        <v>7500</v>
      </c>
      <c r="G1244" s="58">
        <v>1.365</v>
      </c>
      <c r="H1244" s="59" t="s">
        <v>195</v>
      </c>
      <c r="I1244" s="43">
        <f t="shared" si="39"/>
        <v>191000</v>
      </c>
      <c r="J1244" s="49">
        <f t="shared" si="40"/>
        <v>189000</v>
      </c>
      <c r="K1244" s="60">
        <v>176600</v>
      </c>
      <c r="L1244" s="3"/>
    </row>
    <row r="1245" spans="2:12" ht="12" customHeight="1">
      <c r="B1245" s="48">
        <v>1240</v>
      </c>
      <c r="C1245" s="56" t="s">
        <v>182</v>
      </c>
      <c r="D1245" s="56" t="s">
        <v>4</v>
      </c>
      <c r="E1245" s="56">
        <v>65</v>
      </c>
      <c r="F1245" s="57">
        <v>7500</v>
      </c>
      <c r="G1245" s="58">
        <v>4.665</v>
      </c>
      <c r="H1245" s="59" t="s">
        <v>195</v>
      </c>
      <c r="I1245" s="43">
        <f t="shared" si="39"/>
        <v>191000</v>
      </c>
      <c r="J1245" s="49">
        <f t="shared" si="40"/>
        <v>189000</v>
      </c>
      <c r="K1245" s="60">
        <v>176600</v>
      </c>
      <c r="L1245" s="3"/>
    </row>
    <row r="1246" spans="2:12" ht="12" customHeight="1">
      <c r="B1246" s="48">
        <v>1241</v>
      </c>
      <c r="C1246" s="56" t="s">
        <v>182</v>
      </c>
      <c r="D1246" s="56" t="s">
        <v>4</v>
      </c>
      <c r="E1246" s="56">
        <v>65</v>
      </c>
      <c r="F1246" s="57">
        <v>7500</v>
      </c>
      <c r="G1246" s="58">
        <v>4.67</v>
      </c>
      <c r="H1246" s="59" t="s">
        <v>195</v>
      </c>
      <c r="I1246" s="43">
        <f t="shared" si="39"/>
        <v>191000</v>
      </c>
      <c r="J1246" s="49">
        <f t="shared" si="40"/>
        <v>189000</v>
      </c>
      <c r="K1246" s="60">
        <v>176600</v>
      </c>
      <c r="L1246" s="5"/>
    </row>
    <row r="1247" spans="2:12" ht="12" customHeight="1">
      <c r="B1247" s="48">
        <v>1242</v>
      </c>
      <c r="C1247" s="56" t="s">
        <v>182</v>
      </c>
      <c r="D1247" s="56" t="s">
        <v>4</v>
      </c>
      <c r="E1247" s="56">
        <v>65</v>
      </c>
      <c r="F1247" s="57">
        <v>7500</v>
      </c>
      <c r="G1247" s="58">
        <v>4.67</v>
      </c>
      <c r="H1247" s="59" t="s">
        <v>195</v>
      </c>
      <c r="I1247" s="43">
        <f t="shared" si="39"/>
        <v>191000</v>
      </c>
      <c r="J1247" s="49">
        <f t="shared" si="40"/>
        <v>189000</v>
      </c>
      <c r="K1247" s="60">
        <v>176600</v>
      </c>
      <c r="L1247" s="3"/>
    </row>
    <row r="1248" spans="2:12" ht="12" customHeight="1">
      <c r="B1248" s="48">
        <v>1243</v>
      </c>
      <c r="C1248" s="56" t="s">
        <v>182</v>
      </c>
      <c r="D1248" s="56" t="s">
        <v>4</v>
      </c>
      <c r="E1248" s="56">
        <v>65</v>
      </c>
      <c r="F1248" s="57">
        <v>7500</v>
      </c>
      <c r="G1248" s="58">
        <v>4.67</v>
      </c>
      <c r="H1248" s="59" t="s">
        <v>195</v>
      </c>
      <c r="I1248" s="43">
        <f t="shared" si="39"/>
        <v>191000</v>
      </c>
      <c r="J1248" s="49">
        <f t="shared" si="40"/>
        <v>189000</v>
      </c>
      <c r="K1248" s="60">
        <v>176600</v>
      </c>
      <c r="L1248" s="3"/>
    </row>
    <row r="1249" spans="1:12" ht="12" customHeight="1">
      <c r="B1249" s="48">
        <v>1244</v>
      </c>
      <c r="C1249" s="56" t="s">
        <v>182</v>
      </c>
      <c r="D1249" s="56" t="s">
        <v>4</v>
      </c>
      <c r="E1249" s="56">
        <v>65</v>
      </c>
      <c r="F1249" s="57">
        <v>7500</v>
      </c>
      <c r="G1249" s="58">
        <v>9.3149999999999995</v>
      </c>
      <c r="H1249" s="59" t="s">
        <v>195</v>
      </c>
      <c r="I1249" s="43">
        <f t="shared" si="39"/>
        <v>191000</v>
      </c>
      <c r="J1249" s="49">
        <f t="shared" si="40"/>
        <v>189000</v>
      </c>
      <c r="K1249" s="60">
        <v>176600</v>
      </c>
      <c r="L1249" s="3"/>
    </row>
    <row r="1250" spans="1:12" ht="12" customHeight="1">
      <c r="B1250" s="48">
        <v>1245</v>
      </c>
      <c r="C1250" s="56" t="s">
        <v>182</v>
      </c>
      <c r="D1250" s="56" t="s">
        <v>4</v>
      </c>
      <c r="E1250" s="56">
        <v>70</v>
      </c>
      <c r="F1250" s="57">
        <v>2800</v>
      </c>
      <c r="G1250" s="58">
        <f>2.81-0.207-0.997-0.185-0.705</f>
        <v>0.7160000000000003</v>
      </c>
      <c r="H1250" s="59" t="s">
        <v>195</v>
      </c>
      <c r="I1250" s="43">
        <f t="shared" si="39"/>
        <v>191000</v>
      </c>
      <c r="J1250" s="49">
        <f t="shared" si="40"/>
        <v>189000</v>
      </c>
      <c r="K1250" s="60">
        <v>176600</v>
      </c>
      <c r="L1250" s="3"/>
    </row>
    <row r="1251" spans="1:12" ht="12" customHeight="1">
      <c r="B1251" s="48">
        <v>1246</v>
      </c>
      <c r="C1251" s="56" t="s">
        <v>182</v>
      </c>
      <c r="D1251" s="56" t="s">
        <v>4</v>
      </c>
      <c r="E1251" s="56">
        <v>90</v>
      </c>
      <c r="F1251" s="57">
        <v>2980</v>
      </c>
      <c r="G1251" s="58">
        <v>0.152</v>
      </c>
      <c r="H1251" s="59" t="s">
        <v>195</v>
      </c>
      <c r="I1251" s="43">
        <f t="shared" si="39"/>
        <v>191000</v>
      </c>
      <c r="J1251" s="49">
        <f t="shared" si="40"/>
        <v>189000</v>
      </c>
      <c r="K1251" s="60">
        <v>176600</v>
      </c>
      <c r="L1251" s="3"/>
    </row>
    <row r="1252" spans="1:12" ht="12" customHeight="1">
      <c r="B1252" s="48">
        <v>1247</v>
      </c>
      <c r="C1252" s="56" t="s">
        <v>182</v>
      </c>
      <c r="D1252" s="56" t="s">
        <v>4</v>
      </c>
      <c r="E1252" s="56">
        <v>90</v>
      </c>
      <c r="F1252" s="57">
        <v>3050</v>
      </c>
      <c r="G1252" s="58">
        <v>0.155</v>
      </c>
      <c r="H1252" s="59" t="s">
        <v>195</v>
      </c>
      <c r="I1252" s="43">
        <f t="shared" si="39"/>
        <v>191000</v>
      </c>
      <c r="J1252" s="49">
        <f t="shared" si="40"/>
        <v>189000</v>
      </c>
      <c r="K1252" s="60">
        <v>176600</v>
      </c>
      <c r="L1252" s="5"/>
    </row>
    <row r="1253" spans="1:12" ht="12" customHeight="1">
      <c r="B1253" s="48">
        <v>1248</v>
      </c>
      <c r="C1253" s="56" t="s">
        <v>182</v>
      </c>
      <c r="D1253" s="56" t="s">
        <v>4</v>
      </c>
      <c r="E1253" s="56">
        <v>100</v>
      </c>
      <c r="F1253" s="57">
        <v>1900</v>
      </c>
      <c r="G1253" s="58">
        <v>0.11600000000000001</v>
      </c>
      <c r="H1253" s="59" t="s">
        <v>195</v>
      </c>
      <c r="I1253" s="43">
        <f t="shared" si="39"/>
        <v>191000</v>
      </c>
      <c r="J1253" s="49">
        <f t="shared" si="40"/>
        <v>189000</v>
      </c>
      <c r="K1253" s="60">
        <v>176600</v>
      </c>
      <c r="L1253" s="3"/>
    </row>
    <row r="1254" spans="1:12" ht="12" customHeight="1">
      <c r="B1254" s="48">
        <v>1249</v>
      </c>
      <c r="C1254" s="56" t="s">
        <v>182</v>
      </c>
      <c r="D1254" s="56" t="s">
        <v>4</v>
      </c>
      <c r="E1254" s="56">
        <v>100</v>
      </c>
      <c r="F1254" s="57">
        <v>3780</v>
      </c>
      <c r="G1254" s="58">
        <f>1.666-0.835-0.023-0.344-0.246</f>
        <v>0.21799999999999997</v>
      </c>
      <c r="H1254" s="59" t="s">
        <v>195</v>
      </c>
      <c r="I1254" s="43">
        <f t="shared" si="39"/>
        <v>191000</v>
      </c>
      <c r="J1254" s="49">
        <f t="shared" si="40"/>
        <v>189000</v>
      </c>
      <c r="K1254" s="60">
        <v>176600</v>
      </c>
      <c r="L1254" s="3"/>
    </row>
    <row r="1255" spans="1:12" ht="12" customHeight="1">
      <c r="B1255" s="48">
        <v>1250</v>
      </c>
      <c r="C1255" s="56" t="s">
        <v>182</v>
      </c>
      <c r="D1255" s="56" t="s">
        <v>4</v>
      </c>
      <c r="E1255" s="56">
        <v>120</v>
      </c>
      <c r="F1255" s="57">
        <v>935</v>
      </c>
      <c r="G1255" s="58">
        <f>1.005-0.082-0.201-0.083-0.12-0.079</f>
        <v>0.44</v>
      </c>
      <c r="H1255" s="59"/>
      <c r="I1255" s="43">
        <f t="shared" si="39"/>
        <v>191000</v>
      </c>
      <c r="J1255" s="49">
        <f t="shared" si="40"/>
        <v>189000</v>
      </c>
      <c r="K1255" s="60">
        <v>176600</v>
      </c>
      <c r="L1255" s="5"/>
    </row>
    <row r="1256" spans="1:12" ht="12" customHeight="1">
      <c r="B1256" s="48">
        <v>1251</v>
      </c>
      <c r="C1256" s="56" t="s">
        <v>182</v>
      </c>
      <c r="D1256" s="56" t="s">
        <v>4</v>
      </c>
      <c r="E1256" s="56">
        <v>160</v>
      </c>
      <c r="F1256" s="57">
        <v>3235</v>
      </c>
      <c r="G1256" s="58">
        <f>8.425-0.955-0.975-0.455-0.438-0.47-0.459-0.485-0.363-0.389-0.492-0.435-0.961-0.356-0.537</f>
        <v>0.65500000000000191</v>
      </c>
      <c r="H1256" s="59" t="s">
        <v>195</v>
      </c>
      <c r="I1256" s="43">
        <f t="shared" si="39"/>
        <v>191000</v>
      </c>
      <c r="J1256" s="49">
        <f t="shared" si="40"/>
        <v>189000</v>
      </c>
      <c r="K1256" s="60">
        <v>176600</v>
      </c>
      <c r="L1256" s="3"/>
    </row>
    <row r="1257" spans="1:12" ht="12" customHeight="1">
      <c r="B1257" s="48">
        <v>1252</v>
      </c>
      <c r="C1257" s="56" t="s">
        <v>182</v>
      </c>
      <c r="D1257" s="56" t="s">
        <v>4</v>
      </c>
      <c r="E1257" s="56">
        <v>160</v>
      </c>
      <c r="F1257" s="57">
        <v>4710</v>
      </c>
      <c r="G1257" s="58">
        <f>1.46-0.74</f>
        <v>0.72</v>
      </c>
      <c r="H1257" s="59" t="s">
        <v>195</v>
      </c>
      <c r="I1257" s="43">
        <f t="shared" si="39"/>
        <v>191000</v>
      </c>
      <c r="J1257" s="49">
        <f t="shared" si="40"/>
        <v>189000</v>
      </c>
      <c r="K1257" s="60">
        <v>176600</v>
      </c>
      <c r="L1257" s="3"/>
    </row>
    <row r="1258" spans="1:12" ht="12" customHeight="1">
      <c r="B1258" s="48">
        <v>1253</v>
      </c>
      <c r="C1258" s="56" t="s">
        <v>183</v>
      </c>
      <c r="D1258" s="56" t="s">
        <v>4</v>
      </c>
      <c r="E1258" s="56">
        <v>48</v>
      </c>
      <c r="F1258" s="57">
        <v>1735</v>
      </c>
      <c r="G1258" s="58">
        <v>2.5000000000000001E-2</v>
      </c>
      <c r="H1258" s="59" t="s">
        <v>195</v>
      </c>
      <c r="I1258" s="43">
        <f t="shared" si="39"/>
        <v>191000</v>
      </c>
      <c r="J1258" s="49">
        <f t="shared" si="40"/>
        <v>189000</v>
      </c>
      <c r="K1258" s="60">
        <v>176600</v>
      </c>
      <c r="L1258" s="3"/>
    </row>
    <row r="1259" spans="1:12" ht="12" customHeight="1">
      <c r="B1259" s="48">
        <v>1254</v>
      </c>
      <c r="C1259" s="56" t="s">
        <v>183</v>
      </c>
      <c r="D1259" s="56" t="s">
        <v>4</v>
      </c>
      <c r="E1259" s="56">
        <v>65</v>
      </c>
      <c r="F1259" s="57" t="s">
        <v>184</v>
      </c>
      <c r="G1259" s="58">
        <f>1.225-0.094-0.515-0.2</f>
        <v>0.41599999999999998</v>
      </c>
      <c r="H1259" s="59" t="s">
        <v>195</v>
      </c>
      <c r="I1259" s="43">
        <f t="shared" si="39"/>
        <v>191000</v>
      </c>
      <c r="J1259" s="49">
        <f t="shared" si="40"/>
        <v>189000</v>
      </c>
      <c r="K1259" s="60">
        <v>176600</v>
      </c>
      <c r="L1259" s="3"/>
    </row>
    <row r="1260" spans="1:12" ht="12" customHeight="1">
      <c r="B1260" s="48">
        <v>1255</v>
      </c>
      <c r="C1260" s="56" t="s">
        <v>223</v>
      </c>
      <c r="D1260" s="56" t="s">
        <v>4</v>
      </c>
      <c r="E1260" s="56">
        <v>70</v>
      </c>
      <c r="F1260" s="57">
        <v>3240</v>
      </c>
      <c r="G1260" s="58">
        <v>9.4E-2</v>
      </c>
      <c r="H1260" s="59" t="s">
        <v>195</v>
      </c>
      <c r="I1260" s="43">
        <f t="shared" si="39"/>
        <v>253900</v>
      </c>
      <c r="J1260" s="49">
        <f t="shared" si="40"/>
        <v>251900</v>
      </c>
      <c r="K1260" s="60">
        <v>235400</v>
      </c>
      <c r="L1260" s="3"/>
    </row>
    <row r="1261" spans="1:12" ht="12" customHeight="1">
      <c r="B1261" s="48">
        <v>1256</v>
      </c>
      <c r="C1261" s="56" t="s">
        <v>185</v>
      </c>
      <c r="D1261" s="56" t="s">
        <v>4</v>
      </c>
      <c r="E1261" s="56">
        <v>80</v>
      </c>
      <c r="F1261" s="57" t="s">
        <v>186</v>
      </c>
      <c r="G1261" s="58">
        <v>2.085</v>
      </c>
      <c r="H1261" s="59" t="s">
        <v>195</v>
      </c>
      <c r="I1261" s="43">
        <f t="shared" si="39"/>
        <v>191000</v>
      </c>
      <c r="J1261" s="49">
        <f t="shared" si="40"/>
        <v>189000</v>
      </c>
      <c r="K1261" s="60">
        <v>176600</v>
      </c>
      <c r="L1261" s="5"/>
    </row>
    <row r="1262" spans="1:12" ht="12" customHeight="1">
      <c r="B1262" s="48">
        <v>1257</v>
      </c>
      <c r="C1262" s="56" t="s">
        <v>185</v>
      </c>
      <c r="D1262" s="56" t="s">
        <v>4</v>
      </c>
      <c r="E1262" s="56">
        <v>80</v>
      </c>
      <c r="F1262" s="57" t="s">
        <v>187</v>
      </c>
      <c r="G1262" s="58">
        <v>1.405</v>
      </c>
      <c r="H1262" s="59" t="s">
        <v>195</v>
      </c>
      <c r="I1262" s="43">
        <f t="shared" si="39"/>
        <v>191000</v>
      </c>
      <c r="J1262" s="49">
        <f t="shared" si="40"/>
        <v>189000</v>
      </c>
      <c r="K1262" s="60">
        <v>176600</v>
      </c>
      <c r="L1262" s="3"/>
    </row>
    <row r="1263" spans="1:12" ht="12" customHeight="1">
      <c r="B1263" s="48">
        <v>1258</v>
      </c>
      <c r="C1263" s="56" t="s">
        <v>185</v>
      </c>
      <c r="D1263" s="56" t="s">
        <v>4</v>
      </c>
      <c r="E1263" s="56">
        <v>80</v>
      </c>
      <c r="F1263" s="57" t="s">
        <v>188</v>
      </c>
      <c r="G1263" s="58">
        <v>2.16</v>
      </c>
      <c r="H1263" s="59" t="s">
        <v>195</v>
      </c>
      <c r="I1263" s="43">
        <f t="shared" si="39"/>
        <v>191000</v>
      </c>
      <c r="J1263" s="49">
        <f t="shared" si="40"/>
        <v>189000</v>
      </c>
      <c r="K1263" s="60">
        <v>176600</v>
      </c>
      <c r="L1263" s="3"/>
    </row>
    <row r="1264" spans="1:12" customFormat="1" ht="12" customHeight="1">
      <c r="A1264" s="4"/>
      <c r="B1264" s="48">
        <v>1259</v>
      </c>
      <c r="C1264" s="56" t="s">
        <v>189</v>
      </c>
      <c r="D1264" s="56" t="s">
        <v>4</v>
      </c>
      <c r="E1264" s="56">
        <v>70</v>
      </c>
      <c r="F1264" s="57">
        <v>1885</v>
      </c>
      <c r="G1264" s="58">
        <v>5.6000000000000001E-2</v>
      </c>
      <c r="H1264" s="59" t="s">
        <v>195</v>
      </c>
      <c r="I1264" s="43">
        <f t="shared" si="39"/>
        <v>191000</v>
      </c>
      <c r="J1264" s="49">
        <f t="shared" si="40"/>
        <v>189000</v>
      </c>
      <c r="K1264" s="60">
        <v>176600</v>
      </c>
      <c r="L1264" s="3"/>
    </row>
    <row r="1265" spans="1:12" ht="12" customHeight="1">
      <c r="B1265" s="48">
        <v>1260</v>
      </c>
      <c r="C1265" s="56" t="s">
        <v>189</v>
      </c>
      <c r="D1265" s="56" t="s">
        <v>4</v>
      </c>
      <c r="E1265" s="56">
        <v>70</v>
      </c>
      <c r="F1265" s="57">
        <v>1730</v>
      </c>
      <c r="G1265" s="58">
        <v>0.81</v>
      </c>
      <c r="H1265" s="59" t="s">
        <v>195</v>
      </c>
      <c r="I1265" s="43">
        <f t="shared" si="39"/>
        <v>191000</v>
      </c>
      <c r="J1265" s="49">
        <f t="shared" si="40"/>
        <v>189000</v>
      </c>
      <c r="K1265" s="60">
        <v>176600</v>
      </c>
      <c r="L1265"/>
    </row>
    <row r="1266" spans="1:12" customFormat="1" ht="12" customHeight="1">
      <c r="A1266" s="4"/>
      <c r="B1266" s="48">
        <v>1261</v>
      </c>
      <c r="C1266" s="56" t="s">
        <v>224</v>
      </c>
      <c r="D1266" s="56" t="s">
        <v>4</v>
      </c>
      <c r="E1266" s="56">
        <v>25</v>
      </c>
      <c r="F1266" s="57" t="s">
        <v>29</v>
      </c>
      <c r="G1266" s="58">
        <v>0.56000000000000005</v>
      </c>
      <c r="H1266" s="59" t="s">
        <v>195</v>
      </c>
      <c r="I1266" s="43">
        <f t="shared" si="39"/>
        <v>747200</v>
      </c>
      <c r="J1266" s="49">
        <f t="shared" si="40"/>
        <v>745200</v>
      </c>
      <c r="K1266" s="60">
        <v>696400</v>
      </c>
      <c r="L1266" s="3"/>
    </row>
    <row r="1267" spans="1:12" ht="12" customHeight="1">
      <c r="B1267" s="48">
        <v>1262</v>
      </c>
      <c r="C1267" s="56" t="s">
        <v>224</v>
      </c>
      <c r="D1267" s="56" t="s">
        <v>4</v>
      </c>
      <c r="E1267" s="56">
        <v>55</v>
      </c>
      <c r="F1267" s="57">
        <v>1870</v>
      </c>
      <c r="G1267" s="58">
        <v>3.4000000000000002E-2</v>
      </c>
      <c r="H1267" s="59" t="s">
        <v>195</v>
      </c>
      <c r="I1267" s="43">
        <f t="shared" si="39"/>
        <v>747200</v>
      </c>
      <c r="J1267" s="49">
        <f t="shared" si="40"/>
        <v>745200</v>
      </c>
      <c r="K1267" s="60">
        <v>696400</v>
      </c>
      <c r="L1267"/>
    </row>
    <row r="1268" spans="1:12" ht="12" customHeight="1" thickBot="1">
      <c r="B1268" s="50">
        <v>1263</v>
      </c>
      <c r="C1268" s="61" t="s">
        <v>224</v>
      </c>
      <c r="D1268" s="61" t="s">
        <v>4</v>
      </c>
      <c r="E1268" s="61">
        <v>70</v>
      </c>
      <c r="F1268" s="62">
        <v>1950</v>
      </c>
      <c r="G1268" s="63">
        <v>1.9550000000000001</v>
      </c>
      <c r="H1268" s="64" t="s">
        <v>195</v>
      </c>
      <c r="I1268" s="45">
        <f t="shared" si="39"/>
        <v>747200</v>
      </c>
      <c r="J1268" s="73">
        <f t="shared" si="40"/>
        <v>745200</v>
      </c>
      <c r="K1268" s="66">
        <v>696400</v>
      </c>
      <c r="L1268" s="3"/>
    </row>
    <row r="1269" spans="1:12" ht="12" customHeight="1">
      <c r="L1269" s="3"/>
    </row>
    <row r="1270" spans="1:12" ht="12" customHeight="1">
      <c r="L1270" s="3"/>
    </row>
    <row r="1271" spans="1:12" ht="12" customHeight="1">
      <c r="B1271" s="85" t="s">
        <v>241</v>
      </c>
      <c r="C1271" s="85"/>
      <c r="D1271" s="85"/>
      <c r="E1271" s="85"/>
      <c r="F1271" s="85"/>
      <c r="G1271" s="85"/>
      <c r="H1271" s="85"/>
      <c r="I1271" s="85"/>
      <c r="J1271" s="85"/>
      <c r="L1271" s="3"/>
    </row>
    <row r="1272" spans="1:12" ht="12" customHeight="1">
      <c r="B1272" s="85"/>
      <c r="C1272" s="85"/>
      <c r="D1272" s="85"/>
      <c r="E1272" s="85"/>
      <c r="F1272" s="85"/>
      <c r="G1272" s="85"/>
      <c r="H1272" s="85"/>
      <c r="I1272" s="85"/>
      <c r="J1272" s="85"/>
      <c r="L1272" s="3"/>
    </row>
    <row r="1273" spans="1:12" ht="12" customHeight="1">
      <c r="B1273" s="85"/>
      <c r="C1273" s="85"/>
      <c r="D1273" s="85"/>
      <c r="E1273" s="85"/>
      <c r="F1273" s="85"/>
      <c r="G1273" s="85"/>
      <c r="H1273" s="85"/>
      <c r="I1273" s="85"/>
      <c r="J1273" s="85"/>
      <c r="L1273" s="3"/>
    </row>
    <row r="1274" spans="1:12" ht="12" customHeight="1">
      <c r="B1274" s="85"/>
      <c r="C1274" s="85"/>
      <c r="D1274" s="85"/>
      <c r="E1274" s="85"/>
      <c r="F1274" s="85"/>
      <c r="G1274" s="85"/>
      <c r="H1274" s="85"/>
      <c r="I1274" s="85"/>
      <c r="J1274" s="85"/>
      <c r="L1274" s="3"/>
    </row>
    <row r="1275" spans="1:12" ht="135" customHeight="1">
      <c r="B1275" s="85"/>
      <c r="C1275" s="85"/>
      <c r="D1275" s="85"/>
      <c r="E1275" s="85"/>
      <c r="F1275" s="85"/>
      <c r="G1275" s="85"/>
      <c r="H1275" s="85"/>
      <c r="I1275" s="85"/>
      <c r="J1275" s="85"/>
      <c r="L1275" s="3"/>
    </row>
    <row r="1276" spans="1:12" ht="12" customHeight="1">
      <c r="B1276" s="85"/>
      <c r="C1276" s="85"/>
      <c r="D1276" s="85"/>
      <c r="E1276" s="85"/>
      <c r="F1276" s="85"/>
      <c r="G1276" s="85"/>
      <c r="H1276" s="85"/>
      <c r="I1276" s="85"/>
      <c r="J1276" s="85"/>
      <c r="L1276" s="3"/>
    </row>
    <row r="1277" spans="1:12" s="5" customFormat="1" ht="12" customHeight="1">
      <c r="B1277" s="85"/>
      <c r="C1277" s="85"/>
      <c r="D1277" s="85"/>
      <c r="E1277" s="85"/>
      <c r="F1277" s="85"/>
      <c r="G1277" s="85"/>
      <c r="H1277" s="85"/>
      <c r="I1277" s="85"/>
      <c r="J1277" s="85"/>
      <c r="K1277" s="39"/>
      <c r="L1277" s="3"/>
    </row>
    <row r="1278" spans="1:12" ht="12" customHeight="1">
      <c r="B1278" s="85"/>
      <c r="C1278" s="85"/>
      <c r="D1278" s="85"/>
      <c r="E1278" s="85"/>
      <c r="F1278" s="85"/>
      <c r="G1278" s="85"/>
      <c r="H1278" s="85"/>
      <c r="I1278" s="85"/>
      <c r="J1278" s="85"/>
      <c r="L1278" s="3"/>
    </row>
    <row r="1279" spans="1:12" ht="12" customHeight="1">
      <c r="B1279" s="85"/>
      <c r="C1279" s="85"/>
      <c r="D1279" s="85"/>
      <c r="E1279" s="85"/>
      <c r="F1279" s="85"/>
      <c r="G1279" s="85"/>
      <c r="H1279" s="85"/>
      <c r="I1279" s="85"/>
      <c r="J1279" s="85"/>
      <c r="L1279" s="3"/>
    </row>
    <row r="1280" spans="1:12" ht="12" customHeight="1">
      <c r="B1280" s="85"/>
      <c r="C1280" s="85"/>
      <c r="D1280" s="85"/>
      <c r="E1280" s="85"/>
      <c r="F1280" s="85"/>
      <c r="G1280" s="85"/>
      <c r="H1280" s="85"/>
      <c r="I1280" s="85"/>
      <c r="J1280" s="85"/>
      <c r="L1280" s="3"/>
    </row>
    <row r="1281" spans="1:12" ht="12" customHeight="1">
      <c r="B1281" s="4"/>
      <c r="C1281" s="6"/>
      <c r="D1281" s="7"/>
      <c r="E1281" s="8"/>
      <c r="F1281" s="9"/>
      <c r="H1281" s="27"/>
      <c r="I1281" s="28"/>
      <c r="J1281" s="39"/>
      <c r="L1281" s="3"/>
    </row>
    <row r="1282" spans="1:12" ht="12" customHeight="1">
      <c r="B1282" s="86" t="s">
        <v>201</v>
      </c>
      <c r="C1282" s="86"/>
      <c r="D1282" s="86"/>
      <c r="E1282" s="86"/>
      <c r="F1282" s="86"/>
      <c r="G1282" s="86"/>
      <c r="H1282" s="86"/>
      <c r="I1282" s="86"/>
      <c r="J1282" s="86"/>
      <c r="L1282" s="3"/>
    </row>
    <row r="1283" spans="1:12" ht="12" customHeight="1">
      <c r="B1283" s="86"/>
      <c r="C1283" s="86"/>
      <c r="D1283" s="86"/>
      <c r="E1283" s="86"/>
      <c r="F1283" s="86"/>
      <c r="G1283" s="86"/>
      <c r="H1283" s="86"/>
      <c r="I1283" s="86"/>
      <c r="J1283" s="86"/>
      <c r="L1283" s="3"/>
    </row>
    <row r="1284" spans="1:12" ht="28.5" customHeight="1">
      <c r="B1284" s="86"/>
      <c r="C1284" s="86"/>
      <c r="D1284" s="86"/>
      <c r="E1284" s="86"/>
      <c r="F1284" s="86"/>
      <c r="G1284" s="86"/>
      <c r="H1284" s="86"/>
      <c r="I1284" s="86"/>
      <c r="J1284" s="86"/>
      <c r="L1284" s="3"/>
    </row>
    <row r="1285" spans="1:12" ht="12" customHeight="1">
      <c r="L1285" s="3"/>
    </row>
    <row r="1286" spans="1:12" ht="12" customHeight="1">
      <c r="L1286" s="3"/>
    </row>
    <row r="1287" spans="1:12" ht="12" customHeight="1">
      <c r="L1287" s="3"/>
    </row>
    <row r="1288" spans="1:12" customFormat="1" ht="12" customHeight="1">
      <c r="A1288" s="4"/>
      <c r="B1288" s="6"/>
      <c r="C1288" s="4"/>
      <c r="D1288" s="6"/>
      <c r="E1288" s="7"/>
      <c r="F1288" s="8"/>
      <c r="G1288" s="9"/>
      <c r="H1288" s="9"/>
      <c r="I1288" s="27"/>
      <c r="J1288" s="28"/>
      <c r="K1288" s="39"/>
      <c r="L1288" s="3"/>
    </row>
    <row r="1289" spans="1:12" customFormat="1" ht="12" customHeight="1">
      <c r="A1289" s="4"/>
      <c r="B1289" s="6"/>
      <c r="C1289" s="4"/>
      <c r="D1289" s="6"/>
      <c r="E1289" s="7"/>
      <c r="F1289" s="8"/>
      <c r="G1289" s="9"/>
      <c r="H1289" s="9"/>
      <c r="I1289" s="27"/>
      <c r="J1289" s="28"/>
      <c r="K1289" s="39"/>
    </row>
    <row r="1290" spans="1:12" ht="12" customHeight="1">
      <c r="L1290"/>
    </row>
    <row r="1291" spans="1:12" ht="12" customHeight="1">
      <c r="L1291" s="3"/>
    </row>
    <row r="1292" spans="1:12" ht="12" customHeight="1">
      <c r="L1292" s="3"/>
    </row>
    <row r="1293" spans="1:12" ht="12" customHeight="1">
      <c r="L1293" s="3"/>
    </row>
    <row r="1294" spans="1:12" ht="12" customHeight="1">
      <c r="L1294" s="3"/>
    </row>
    <row r="1295" spans="1:12" s="2" customFormat="1" ht="12" customHeight="1">
      <c r="B1295" s="6"/>
      <c r="C1295" s="4"/>
      <c r="D1295" s="6"/>
      <c r="E1295" s="7"/>
      <c r="F1295" s="8"/>
      <c r="G1295" s="9"/>
      <c r="H1295" s="9"/>
      <c r="I1295" s="27"/>
      <c r="J1295" s="28"/>
      <c r="K1295" s="39"/>
      <c r="L1295" s="3"/>
    </row>
    <row r="1296" spans="1:12" ht="12" customHeight="1"/>
    <row r="1297" spans="12:12" ht="12" customHeight="1"/>
    <row r="1298" spans="12:12" ht="12" customHeight="1"/>
    <row r="1299" spans="12:12" ht="12" customHeight="1"/>
    <row r="1300" spans="12:12" ht="11.25" customHeight="1"/>
    <row r="1301" spans="12:12" ht="12" customHeight="1"/>
    <row r="1302" spans="12:12" ht="12" customHeight="1"/>
    <row r="1303" spans="12:12" ht="139.5" customHeight="1"/>
    <row r="1304" spans="12:12" ht="12" customHeight="1"/>
    <row r="1305" spans="12:12" ht="12" customHeight="1"/>
    <row r="1306" spans="12:12" ht="12" customHeight="1"/>
    <row r="1307" spans="12:12" ht="12" customHeight="1"/>
    <row r="1308" spans="12:12" ht="10.5" customHeight="1"/>
    <row r="1309" spans="12:12" ht="12" customHeight="1"/>
    <row r="1310" spans="12:12" ht="12" customHeight="1">
      <c r="L1310" s="3"/>
    </row>
    <row r="1311" spans="12:12" ht="23.25" customHeight="1">
      <c r="L1311" s="3"/>
    </row>
    <row r="1312" spans="12:12" ht="12" customHeight="1">
      <c r="L1312" s="5"/>
    </row>
    <row r="1313" spans="12:12" ht="12" customHeight="1">
      <c r="L1313" s="3"/>
    </row>
    <row r="1314" spans="12:12" ht="12" customHeight="1">
      <c r="L1314" s="3"/>
    </row>
    <row r="1315" spans="12:12" ht="12" customHeight="1">
      <c r="L1315" s="3"/>
    </row>
    <row r="1316" spans="12:12" ht="12" customHeight="1">
      <c r="L1316" s="3"/>
    </row>
    <row r="1317" spans="12:12" ht="12" customHeight="1">
      <c r="L1317" s="3"/>
    </row>
    <row r="1318" spans="12:12" ht="12" customHeight="1">
      <c r="L1318" s="5"/>
    </row>
    <row r="1319" spans="12:12" ht="12" customHeight="1">
      <c r="L1319" s="5"/>
    </row>
    <row r="1320" spans="12:12" ht="12" customHeight="1">
      <c r="L1320" s="5"/>
    </row>
    <row r="1321" spans="12:12" ht="12" customHeight="1">
      <c r="L1321" s="5"/>
    </row>
    <row r="1322" spans="12:12" ht="12" customHeight="1">
      <c r="L1322" s="3"/>
    </row>
    <row r="1323" spans="12:12" ht="12" customHeight="1">
      <c r="L1323" s="3"/>
    </row>
    <row r="1324" spans="12:12" ht="12" customHeight="1">
      <c r="L1324" s="3"/>
    </row>
    <row r="1325" spans="12:12" ht="12" customHeight="1">
      <c r="L1325" s="3"/>
    </row>
    <row r="1326" spans="12:12" ht="12" customHeight="1">
      <c r="L1326" s="3"/>
    </row>
    <row r="1327" spans="12:12" ht="12" customHeight="1">
      <c r="L1327" s="3"/>
    </row>
    <row r="1328" spans="12:12" ht="12" customHeight="1">
      <c r="L1328" s="3"/>
    </row>
    <row r="1329" spans="2:12" ht="12" customHeight="1">
      <c r="L1329" s="3"/>
    </row>
    <row r="1330" spans="2:12" ht="12" customHeight="1">
      <c r="B1330" s="5"/>
      <c r="C1330" s="5"/>
      <c r="D1330" s="5"/>
      <c r="E1330" s="5"/>
      <c r="F1330" s="5"/>
      <c r="G1330" s="5"/>
      <c r="H1330" s="5"/>
      <c r="I1330" s="30"/>
      <c r="J1330" s="30"/>
      <c r="K1330" s="27"/>
      <c r="L1330" s="3"/>
    </row>
    <row r="1331" spans="2:12" ht="12" customHeight="1">
      <c r="B1331" s="5"/>
      <c r="C1331" s="5"/>
      <c r="D1331" s="5"/>
      <c r="E1331" s="5"/>
      <c r="F1331" s="5"/>
      <c r="G1331" s="5"/>
      <c r="H1331" s="5"/>
      <c r="I1331" s="30"/>
      <c r="J1331" s="30"/>
      <c r="K1331" s="27"/>
      <c r="L1331" s="3"/>
    </row>
    <row r="1332" spans="2:12" ht="12" customHeight="1">
      <c r="B1332" s="5"/>
      <c r="C1332" s="5"/>
      <c r="D1332" s="5"/>
      <c r="E1332" s="5"/>
      <c r="F1332" s="5"/>
      <c r="G1332" s="5"/>
      <c r="H1332" s="5"/>
      <c r="I1332" s="30"/>
      <c r="J1332" s="30"/>
      <c r="K1332" s="27"/>
      <c r="L1332" s="3"/>
    </row>
    <row r="1333" spans="2:12" ht="12" customHeight="1">
      <c r="B1333" s="5"/>
      <c r="C1333" s="5"/>
      <c r="D1333" s="5"/>
      <c r="E1333" s="5"/>
      <c r="F1333" s="5"/>
      <c r="G1333" s="5"/>
      <c r="H1333" s="5"/>
      <c r="I1333" s="30"/>
      <c r="J1333" s="30"/>
      <c r="K1333" s="27"/>
      <c r="L1333" s="3"/>
    </row>
    <row r="1334" spans="2:12" ht="11.25" customHeight="1">
      <c r="B1334" s="5"/>
      <c r="C1334" s="5"/>
      <c r="D1334" s="5"/>
      <c r="E1334" s="5"/>
      <c r="F1334" s="5"/>
      <c r="G1334" s="5"/>
      <c r="H1334" s="5"/>
      <c r="I1334" s="30"/>
      <c r="J1334" s="30"/>
      <c r="K1334" s="27"/>
      <c r="L1334" s="3"/>
    </row>
    <row r="1335" spans="2:12" ht="12" customHeight="1">
      <c r="B1335" s="5"/>
      <c r="C1335" s="5"/>
      <c r="D1335" s="5"/>
      <c r="E1335" s="5"/>
      <c r="F1335" s="5"/>
      <c r="G1335" s="5"/>
      <c r="H1335" s="5"/>
      <c r="I1335" s="30"/>
      <c r="J1335" s="30"/>
      <c r="K1335" s="27"/>
      <c r="L1335" s="3"/>
    </row>
    <row r="1336" spans="2:12" ht="12" customHeight="1">
      <c r="L1336" s="3"/>
    </row>
    <row r="1337" spans="2:12" ht="12" customHeight="1">
      <c r="L1337" s="3"/>
    </row>
    <row r="1338" spans="2:12" ht="12" customHeight="1">
      <c r="L1338" s="3"/>
    </row>
    <row r="1339" spans="2:12" ht="12" customHeight="1">
      <c r="L1339" s="3"/>
    </row>
    <row r="1340" spans="2:12" ht="12" customHeight="1">
      <c r="L1340" s="3"/>
    </row>
    <row r="1341" spans="2:12" ht="12" customHeight="1">
      <c r="L1341" s="3"/>
    </row>
    <row r="1342" spans="2:12" ht="12" customHeight="1">
      <c r="L1342" s="3"/>
    </row>
    <row r="1343" spans="2:12" ht="12" customHeight="1">
      <c r="B1343" s="5"/>
      <c r="C1343" s="5"/>
      <c r="D1343" s="5"/>
      <c r="E1343" s="5"/>
      <c r="F1343" s="5"/>
      <c r="G1343" s="5"/>
      <c r="H1343" s="5"/>
      <c r="I1343" s="30"/>
      <c r="J1343" s="30"/>
      <c r="K1343" s="27"/>
      <c r="L1343" s="3"/>
    </row>
    <row r="1344" spans="2:12" ht="10.5" customHeight="1">
      <c r="L1344" s="3"/>
    </row>
    <row r="1345" spans="12:12" ht="12" customHeight="1">
      <c r="L1345" s="3"/>
    </row>
    <row r="1346" spans="12:12" ht="12" customHeight="1">
      <c r="L1346" s="3"/>
    </row>
    <row r="1347" spans="12:12" ht="12" customHeight="1">
      <c r="L1347" s="3"/>
    </row>
    <row r="1348" spans="12:12" ht="12" customHeight="1">
      <c r="L1348" s="3"/>
    </row>
    <row r="1349" spans="12:12" ht="12" customHeight="1">
      <c r="L1349" s="3"/>
    </row>
    <row r="1350" spans="12:12" ht="12" customHeight="1">
      <c r="L1350" s="3"/>
    </row>
    <row r="1351" spans="12:12" ht="12" customHeight="1">
      <c r="L1351" s="3"/>
    </row>
    <row r="1352" spans="12:12" ht="9.75" customHeight="1">
      <c r="L1352" s="3"/>
    </row>
    <row r="1353" spans="12:12" ht="12" customHeight="1">
      <c r="L1353" s="3"/>
    </row>
    <row r="1354" spans="12:12" ht="12" customHeight="1">
      <c r="L1354" s="3"/>
    </row>
    <row r="1355" spans="12:12" ht="12" customHeight="1">
      <c r="L1355" s="3"/>
    </row>
    <row r="1356" spans="12:12" ht="12" customHeight="1">
      <c r="L1356" s="3"/>
    </row>
    <row r="1357" spans="12:12" ht="12" customHeight="1">
      <c r="L1357" s="3"/>
    </row>
    <row r="1358" spans="12:12" ht="12" customHeight="1">
      <c r="L1358" s="3"/>
    </row>
    <row r="1359" spans="12:12" ht="13.5" customHeight="1">
      <c r="L1359" s="3"/>
    </row>
    <row r="1360" spans="12:12" ht="12" customHeight="1">
      <c r="L1360" s="3"/>
    </row>
    <row r="1361" spans="1:12" ht="12" customHeight="1">
      <c r="L1361" s="3"/>
    </row>
    <row r="1362" spans="1:12" ht="12" customHeight="1">
      <c r="L1362" s="3"/>
    </row>
    <row r="1363" spans="1:12" ht="12" customHeight="1">
      <c r="L1363" s="3"/>
    </row>
    <row r="1364" spans="1:12" ht="12" customHeight="1">
      <c r="L1364" s="3"/>
    </row>
    <row r="1365" spans="1:12" ht="12" customHeight="1">
      <c r="L1365" s="3"/>
    </row>
    <row r="1366" spans="1:12" ht="12" customHeight="1">
      <c r="L1366" s="3"/>
    </row>
    <row r="1367" spans="1:12" ht="12.75" customHeight="1">
      <c r="L1367" s="3"/>
    </row>
    <row r="1368" spans="1:12" ht="12" customHeight="1">
      <c r="A1368" s="5"/>
      <c r="L1368" s="3"/>
    </row>
    <row r="1369" spans="1:12" ht="12" customHeight="1">
      <c r="L1369" s="3"/>
    </row>
    <row r="1370" spans="1:12" ht="12" customHeight="1">
      <c r="L1370" s="3"/>
    </row>
    <row r="1371" spans="1:12" ht="12" customHeight="1">
      <c r="L1371" s="3"/>
    </row>
    <row r="1372" spans="1:12" ht="12" customHeight="1">
      <c r="L1372" s="3"/>
    </row>
    <row r="1373" spans="1:12" ht="11.25" customHeight="1">
      <c r="L1373" s="5"/>
    </row>
    <row r="1374" spans="1:12" ht="13.5" customHeight="1">
      <c r="L1374" s="3"/>
    </row>
    <row r="1375" spans="1:12" ht="129" customHeight="1">
      <c r="L1375" s="3"/>
    </row>
    <row r="1376" spans="1:12" ht="12" customHeight="1">
      <c r="L1376" s="3"/>
    </row>
    <row r="1377" spans="12:14" ht="12" customHeight="1">
      <c r="L1377" s="3"/>
    </row>
    <row r="1378" spans="12:14" ht="12" customHeight="1">
      <c r="L1378" s="3"/>
    </row>
    <row r="1379" spans="12:14" ht="13.5" customHeight="1">
      <c r="L1379" s="3"/>
    </row>
    <row r="1380" spans="12:14" ht="12" customHeight="1">
      <c r="L1380" s="3"/>
    </row>
    <row r="1381" spans="12:14" ht="12" customHeight="1">
      <c r="L1381" s="3"/>
    </row>
    <row r="1382" spans="12:14" ht="12.75" customHeight="1">
      <c r="L1382" s="3"/>
    </row>
    <row r="1383" spans="12:14" ht="21" customHeight="1">
      <c r="L1383" s="3"/>
    </row>
    <row r="1384" spans="12:14" ht="12" customHeight="1">
      <c r="L1384" s="3"/>
    </row>
    <row r="1385" spans="12:14" ht="12" customHeight="1">
      <c r="L1385" s="3"/>
    </row>
    <row r="1386" spans="12:14" ht="12" customHeight="1">
      <c r="L1386" s="5"/>
    </row>
    <row r="1387" spans="12:14" ht="12" customHeight="1">
      <c r="L1387" s="3"/>
      <c r="M1387" s="5"/>
      <c r="N1387" s="5"/>
    </row>
    <row r="1388" spans="12:14" ht="11.25" customHeight="1">
      <c r="L1388" s="3"/>
    </row>
    <row r="1389" spans="12:14" ht="12" customHeight="1">
      <c r="L1389" s="3"/>
    </row>
    <row r="1390" spans="12:14" ht="12" customHeight="1">
      <c r="L1390" s="3"/>
    </row>
    <row r="1391" spans="12:14" ht="12" customHeight="1">
      <c r="L1391" s="3"/>
    </row>
    <row r="1392" spans="12:14" ht="12" customHeight="1">
      <c r="L1392" s="3"/>
    </row>
    <row r="1393" spans="1:16" ht="12.75" customHeight="1">
      <c r="L1393" s="3"/>
    </row>
    <row r="1394" spans="1:16" ht="12" customHeight="1">
      <c r="L1394" s="3"/>
    </row>
    <row r="1395" spans="1:16" ht="12" customHeight="1">
      <c r="L1395" s="5"/>
    </row>
    <row r="1396" spans="1:16" ht="12" customHeight="1">
      <c r="L1396" s="3"/>
    </row>
    <row r="1397" spans="1:16" ht="14.25" customHeight="1">
      <c r="L1397" s="3"/>
    </row>
    <row r="1398" spans="1:16" ht="12.75" customHeight="1">
      <c r="L1398" s="5"/>
    </row>
    <row r="1399" spans="1:16" ht="12" customHeight="1">
      <c r="L1399" s="3"/>
    </row>
    <row r="1400" spans="1:16" s="5" customFormat="1" ht="12.75" customHeight="1">
      <c r="A1400" s="4"/>
      <c r="B1400" s="6"/>
      <c r="C1400" s="4"/>
      <c r="D1400" s="6"/>
      <c r="E1400" s="7"/>
      <c r="F1400" s="8"/>
      <c r="G1400" s="9"/>
      <c r="H1400" s="9"/>
      <c r="I1400" s="27"/>
      <c r="J1400" s="28"/>
      <c r="K1400" s="39"/>
      <c r="L1400" s="3"/>
      <c r="M1400" s="3"/>
      <c r="N1400" s="3"/>
      <c r="O1400" s="3"/>
      <c r="P1400" s="3"/>
    </row>
    <row r="1401" spans="1:16" s="5" customFormat="1" ht="12" customHeight="1">
      <c r="A1401" s="4"/>
      <c r="B1401" s="6"/>
      <c r="C1401" s="4"/>
      <c r="D1401" s="6"/>
      <c r="E1401" s="7"/>
      <c r="F1401" s="8"/>
      <c r="G1401" s="9"/>
      <c r="H1401" s="9"/>
      <c r="I1401" s="27"/>
      <c r="J1401" s="28"/>
      <c r="K1401" s="39"/>
      <c r="L1401" s="3"/>
      <c r="M1401" s="3"/>
      <c r="N1401" s="3"/>
      <c r="O1401" s="3"/>
      <c r="P1401" s="3"/>
    </row>
    <row r="1402" spans="1:16" s="5" customFormat="1" ht="12.75" customHeight="1">
      <c r="A1402" s="4"/>
      <c r="B1402" s="6"/>
      <c r="C1402" s="4"/>
      <c r="D1402" s="6"/>
      <c r="E1402" s="7"/>
      <c r="F1402" s="8"/>
      <c r="G1402" s="9"/>
      <c r="H1402" s="9"/>
      <c r="I1402" s="27"/>
      <c r="J1402" s="28"/>
      <c r="K1402" s="39"/>
      <c r="L1402" s="3"/>
      <c r="M1402" s="3"/>
      <c r="N1402" s="3"/>
      <c r="O1402" s="3"/>
      <c r="P1402" s="3"/>
    </row>
    <row r="1403" spans="1:16" s="5" customFormat="1" ht="12" customHeight="1">
      <c r="A1403" s="4"/>
      <c r="B1403" s="6"/>
      <c r="C1403" s="4"/>
      <c r="D1403" s="6"/>
      <c r="E1403" s="7"/>
      <c r="F1403" s="8"/>
      <c r="G1403" s="9"/>
      <c r="H1403" s="9"/>
      <c r="I1403" s="27"/>
      <c r="J1403" s="28"/>
      <c r="K1403" s="39"/>
      <c r="L1403" s="3"/>
      <c r="M1403" s="3"/>
      <c r="N1403" s="3"/>
      <c r="O1403" s="3"/>
      <c r="P1403" s="3"/>
    </row>
    <row r="1404" spans="1:16" s="5" customFormat="1" ht="12" customHeight="1">
      <c r="A1404" s="4"/>
      <c r="B1404" s="6"/>
      <c r="C1404" s="4"/>
      <c r="D1404" s="6"/>
      <c r="E1404" s="7"/>
      <c r="F1404" s="8"/>
      <c r="G1404" s="9"/>
      <c r="H1404" s="9"/>
      <c r="I1404" s="27"/>
      <c r="J1404" s="28"/>
      <c r="K1404" s="39"/>
      <c r="L1404"/>
      <c r="M1404" s="3"/>
      <c r="N1404" s="3"/>
      <c r="O1404" s="3"/>
      <c r="P1404" s="3"/>
    </row>
    <row r="1405" spans="1:16" s="5" customFormat="1" ht="13.5" customHeight="1">
      <c r="A1405" s="4"/>
      <c r="B1405" s="6"/>
      <c r="C1405" s="4"/>
      <c r="D1405" s="6"/>
      <c r="E1405" s="7"/>
      <c r="F1405" s="8"/>
      <c r="G1405" s="9"/>
      <c r="H1405" s="9"/>
      <c r="I1405" s="27"/>
      <c r="J1405" s="28"/>
      <c r="K1405" s="39"/>
      <c r="L1405" s="3"/>
      <c r="M1405" s="3"/>
      <c r="N1405" s="3"/>
      <c r="O1405" s="3"/>
      <c r="P1405" s="3"/>
    </row>
    <row r="1406" spans="1:16" s="5" customFormat="1" ht="12" customHeight="1">
      <c r="A1406" s="4"/>
      <c r="B1406" s="6"/>
      <c r="C1406" s="4"/>
      <c r="D1406" s="6"/>
      <c r="E1406" s="7"/>
      <c r="F1406" s="8"/>
      <c r="G1406" s="9"/>
      <c r="H1406" s="9"/>
      <c r="I1406" s="27"/>
      <c r="J1406" s="28"/>
      <c r="K1406" s="39"/>
      <c r="L1406" s="3"/>
      <c r="M1406" s="3"/>
      <c r="N1406" s="3"/>
      <c r="O1406" s="3"/>
      <c r="P1406" s="3"/>
    </row>
    <row r="1407" spans="1:16" s="5" customFormat="1" ht="14.25" customHeight="1">
      <c r="A1407" s="11"/>
      <c r="B1407" s="6"/>
      <c r="C1407" s="4"/>
      <c r="D1407" s="6"/>
      <c r="E1407" s="7"/>
      <c r="F1407" s="8"/>
      <c r="G1407" s="9"/>
      <c r="H1407" s="9"/>
      <c r="I1407" s="27"/>
      <c r="J1407" s="28"/>
      <c r="K1407" s="39"/>
      <c r="L1407" s="2"/>
      <c r="M1407" s="3"/>
      <c r="N1407" s="3"/>
      <c r="O1407" s="3"/>
      <c r="P1407" s="3"/>
    </row>
    <row r="1408" spans="1:16" s="5" customFormat="1" ht="12" customHeight="1">
      <c r="A1408" s="4"/>
      <c r="B1408" s="6"/>
      <c r="C1408" s="4"/>
      <c r="D1408" s="6"/>
      <c r="E1408" s="7"/>
      <c r="F1408" s="8"/>
      <c r="G1408" s="9"/>
      <c r="H1408" s="9"/>
      <c r="I1408" s="27"/>
      <c r="J1408" s="28"/>
      <c r="K1408" s="39"/>
      <c r="L1408"/>
      <c r="M1408" s="3"/>
      <c r="N1408" s="3"/>
      <c r="O1408" s="3"/>
      <c r="P1408" s="3"/>
    </row>
    <row r="1409" spans="1:16" s="5" customFormat="1" ht="12" customHeight="1">
      <c r="B1409" s="6"/>
      <c r="C1409" s="4"/>
      <c r="D1409" s="6"/>
      <c r="E1409" s="7"/>
      <c r="F1409" s="8"/>
      <c r="G1409" s="9"/>
      <c r="H1409" s="9"/>
      <c r="I1409" s="27"/>
      <c r="J1409" s="28"/>
      <c r="K1409" s="39"/>
      <c r="L1409"/>
    </row>
    <row r="1410" spans="1:16" ht="12" customHeight="1">
      <c r="L1410" s="3"/>
    </row>
    <row r="1411" spans="1:16" ht="12" customHeight="1">
      <c r="L1411" s="3"/>
    </row>
    <row r="1412" spans="1:16" s="5" customFormat="1" ht="12" customHeight="1">
      <c r="A1412" s="4"/>
      <c r="B1412" s="6"/>
      <c r="C1412" s="4"/>
      <c r="D1412" s="6"/>
      <c r="E1412" s="7"/>
      <c r="F1412" s="8"/>
      <c r="G1412" s="9"/>
      <c r="H1412" s="9"/>
      <c r="I1412" s="27"/>
      <c r="J1412" s="28"/>
      <c r="K1412" s="39"/>
      <c r="L1412" s="3"/>
      <c r="M1412" s="3"/>
      <c r="N1412" s="3"/>
      <c r="O1412" s="3"/>
      <c r="P1412" s="3"/>
    </row>
    <row r="1413" spans="1:16" s="5" customFormat="1" ht="12" customHeight="1">
      <c r="A1413" s="4"/>
      <c r="B1413" s="6"/>
      <c r="C1413" s="4"/>
      <c r="D1413" s="6"/>
      <c r="E1413" s="7"/>
      <c r="F1413" s="8"/>
      <c r="G1413" s="9"/>
      <c r="H1413" s="9"/>
      <c r="I1413" s="27"/>
      <c r="J1413" s="28"/>
      <c r="K1413" s="39"/>
      <c r="L1413" s="3"/>
      <c r="M1413" s="3"/>
      <c r="N1413" s="3"/>
      <c r="O1413" s="3"/>
      <c r="P1413" s="3"/>
    </row>
    <row r="1414" spans="1:16" ht="12" customHeight="1">
      <c r="L1414" s="3"/>
    </row>
    <row r="1415" spans="1:16" ht="12" customHeight="1">
      <c r="L1415" s="3"/>
    </row>
    <row r="1416" spans="1:16" ht="12" customHeight="1">
      <c r="L1416" s="3"/>
    </row>
    <row r="1417" spans="1:16" s="5" customFormat="1" ht="12" customHeight="1">
      <c r="A1417" s="4"/>
      <c r="B1417" s="6"/>
      <c r="C1417" s="4"/>
      <c r="D1417" s="6"/>
      <c r="E1417" s="7"/>
      <c r="F1417" s="8"/>
      <c r="G1417" s="9"/>
      <c r="H1417" s="9"/>
      <c r="I1417" s="27"/>
      <c r="J1417" s="28"/>
      <c r="K1417" s="39"/>
      <c r="L1417" s="3"/>
      <c r="M1417" s="3"/>
      <c r="N1417" s="3"/>
      <c r="O1417" s="3"/>
      <c r="P1417" s="3"/>
    </row>
    <row r="1418" spans="1:16" s="5" customFormat="1" ht="12" customHeight="1">
      <c r="A1418" s="4"/>
      <c r="B1418" s="6"/>
      <c r="C1418" s="4"/>
      <c r="D1418" s="6"/>
      <c r="E1418" s="7"/>
      <c r="F1418" s="8"/>
      <c r="G1418" s="9"/>
      <c r="H1418" s="9"/>
      <c r="I1418" s="27"/>
      <c r="J1418" s="28"/>
      <c r="K1418" s="39"/>
      <c r="L1418" s="3"/>
      <c r="M1418" s="3"/>
      <c r="N1418" s="3"/>
      <c r="O1418" s="3"/>
      <c r="P1418" s="3"/>
    </row>
    <row r="1419" spans="1:16" s="5" customFormat="1" ht="12" customHeight="1">
      <c r="A1419" s="4"/>
      <c r="B1419" s="6"/>
      <c r="C1419" s="4"/>
      <c r="D1419" s="6"/>
      <c r="E1419" s="7"/>
      <c r="F1419" s="8"/>
      <c r="G1419" s="9"/>
      <c r="H1419" s="9"/>
      <c r="I1419" s="27"/>
      <c r="J1419" s="28"/>
      <c r="K1419" s="39"/>
      <c r="L1419" s="3"/>
      <c r="M1419" s="3"/>
      <c r="N1419" s="3"/>
      <c r="O1419" s="3"/>
      <c r="P1419" s="3"/>
    </row>
    <row r="1420" spans="1:16" s="5" customFormat="1" ht="12" customHeight="1">
      <c r="A1420" s="4"/>
      <c r="B1420" s="6"/>
      <c r="C1420" s="4"/>
      <c r="D1420" s="6"/>
      <c r="E1420" s="7"/>
      <c r="F1420" s="8"/>
      <c r="G1420" s="9"/>
      <c r="H1420" s="9"/>
      <c r="I1420" s="27"/>
      <c r="J1420" s="28"/>
      <c r="K1420" s="39"/>
      <c r="M1420" s="3"/>
      <c r="N1420" s="3"/>
      <c r="O1420" s="3"/>
      <c r="P1420" s="3"/>
    </row>
    <row r="1421" spans="1:16" s="5" customFormat="1" ht="12" customHeight="1">
      <c r="A1421" s="4"/>
      <c r="B1421" s="6"/>
      <c r="C1421" s="4"/>
      <c r="D1421" s="6"/>
      <c r="E1421" s="7"/>
      <c r="F1421" s="8"/>
      <c r="G1421" s="9"/>
      <c r="H1421" s="9"/>
      <c r="I1421" s="27"/>
      <c r="J1421" s="28"/>
      <c r="K1421" s="39"/>
      <c r="L1421" s="3"/>
      <c r="M1421" s="3"/>
      <c r="N1421" s="3"/>
      <c r="O1421" s="3"/>
      <c r="P1421" s="3"/>
    </row>
    <row r="1422" spans="1:16" s="5" customFormat="1" ht="12" customHeight="1">
      <c r="A1422" s="4"/>
      <c r="B1422" s="6"/>
      <c r="C1422" s="4"/>
      <c r="D1422" s="6"/>
      <c r="E1422" s="7"/>
      <c r="F1422" s="8"/>
      <c r="G1422" s="9"/>
      <c r="H1422" s="9"/>
      <c r="I1422" s="27"/>
      <c r="J1422" s="28"/>
      <c r="K1422" s="39"/>
      <c r="L1422" s="3"/>
      <c r="M1422" s="3"/>
      <c r="N1422" s="3"/>
      <c r="O1422" s="3"/>
      <c r="P1422" s="3"/>
    </row>
    <row r="1423" spans="1:16" ht="12" customHeight="1">
      <c r="A1423" s="5"/>
      <c r="L1423" s="3"/>
    </row>
    <row r="1424" spans="1:16" ht="14.25" customHeight="1">
      <c r="A1424" s="5"/>
      <c r="L1424" s="3"/>
    </row>
    <row r="1425" spans="1:16" s="5" customFormat="1" ht="12" customHeight="1">
      <c r="A1425" s="4"/>
      <c r="B1425" s="6"/>
      <c r="C1425" s="4"/>
      <c r="D1425" s="6"/>
      <c r="E1425" s="7"/>
      <c r="F1425" s="8"/>
      <c r="G1425" s="9"/>
      <c r="H1425" s="9"/>
      <c r="I1425" s="27"/>
      <c r="J1425" s="28"/>
      <c r="K1425" s="39"/>
      <c r="L1425" s="3"/>
      <c r="M1425" s="3"/>
      <c r="N1425" s="3"/>
      <c r="O1425" s="3"/>
      <c r="P1425" s="3"/>
    </row>
    <row r="1426" spans="1:16" ht="12" customHeight="1">
      <c r="L1426" s="3"/>
      <c r="M1426" s="5"/>
      <c r="N1426" s="5"/>
      <c r="O1426" s="5"/>
      <c r="P1426" s="5"/>
    </row>
    <row r="1427" spans="1:16" ht="12" customHeight="1">
      <c r="L1427" s="3"/>
    </row>
    <row r="1428" spans="1:16" ht="12" customHeight="1">
      <c r="L1428" s="3"/>
    </row>
    <row r="1429" spans="1:16" ht="12" customHeight="1">
      <c r="L1429" s="3"/>
    </row>
    <row r="1430" spans="1:16" ht="12" customHeight="1">
      <c r="L1430" s="3"/>
    </row>
    <row r="1431" spans="1:16" ht="12" customHeight="1">
      <c r="L1431" s="3"/>
    </row>
    <row r="1432" spans="1:16" ht="12.75" customHeight="1">
      <c r="L1432" s="3"/>
    </row>
    <row r="1433" spans="1:16" ht="12" customHeight="1">
      <c r="L1433" s="3"/>
    </row>
    <row r="1434" spans="1:16" ht="12" customHeight="1">
      <c r="L1434"/>
    </row>
    <row r="1435" spans="1:16" ht="12" customHeight="1">
      <c r="L1435" s="3"/>
    </row>
    <row r="1436" spans="1:16" ht="12" customHeight="1">
      <c r="L1436"/>
    </row>
    <row r="1437" spans="1:16" ht="132.75" customHeight="1">
      <c r="B1437" s="2"/>
      <c r="C1437" s="2"/>
      <c r="D1437" s="2"/>
      <c r="E1437" s="2"/>
      <c r="F1437" s="2"/>
      <c r="G1437" s="2"/>
      <c r="H1437" s="2"/>
      <c r="I1437" s="29"/>
      <c r="J1437" s="29"/>
      <c r="K1437" s="41"/>
      <c r="L1437" s="3"/>
    </row>
    <row r="1438" spans="1:16" ht="12" customHeight="1">
      <c r="B1438" s="1"/>
      <c r="C1438" s="1"/>
      <c r="D1438" s="1"/>
      <c r="E1438" s="1"/>
      <c r="F1438" s="1"/>
      <c r="G1438" s="1"/>
      <c r="H1438" s="1"/>
      <c r="I1438" s="32"/>
      <c r="J1438" s="32"/>
      <c r="K1438" s="41"/>
      <c r="L1438" s="3"/>
    </row>
    <row r="1439" spans="1:16" ht="12" customHeight="1">
      <c r="L1439" s="3"/>
    </row>
    <row r="1440" spans="1:16" ht="12" customHeight="1">
      <c r="L1440" s="3"/>
    </row>
    <row r="1441" spans="1:18" ht="12" customHeight="1">
      <c r="L1441" s="3"/>
    </row>
    <row r="1442" spans="1:18" ht="12" customHeight="1">
      <c r="L1442" s="3"/>
    </row>
    <row r="1443" spans="1:18" ht="12" customHeight="1">
      <c r="A1443" s="5"/>
      <c r="L1443" s="3"/>
    </row>
    <row r="1444" spans="1:18" ht="12" customHeight="1">
      <c r="L1444" s="3"/>
    </row>
    <row r="1445" spans="1:18" ht="20.25" customHeight="1">
      <c r="B1445" s="13"/>
      <c r="C1445" s="13"/>
      <c r="D1445" s="13"/>
      <c r="E1445" s="13"/>
      <c r="F1445" s="13"/>
      <c r="G1445" s="13"/>
      <c r="H1445" s="13"/>
      <c r="I1445" s="31"/>
      <c r="J1445" s="31"/>
      <c r="L1445" s="3"/>
      <c r="M1445" s="5"/>
      <c r="N1445" s="5"/>
      <c r="O1445" s="5"/>
      <c r="P1445" s="5"/>
      <c r="Q1445" s="5"/>
      <c r="R1445" s="5"/>
    </row>
    <row r="1446" spans="1:18" ht="14.25" customHeight="1">
      <c r="B1446" s="13"/>
      <c r="C1446" s="13"/>
      <c r="D1446" s="13"/>
      <c r="E1446" s="13"/>
      <c r="F1446" s="13"/>
      <c r="G1446" s="13"/>
      <c r="H1446" s="13"/>
      <c r="I1446" s="31"/>
      <c r="J1446" s="31"/>
      <c r="L1446" s="3"/>
    </row>
    <row r="1447" spans="1:18" ht="13.5" customHeight="1">
      <c r="B1447" s="13"/>
      <c r="C1447" s="13"/>
      <c r="D1447" s="13"/>
      <c r="E1447" s="13"/>
      <c r="F1447" s="13"/>
      <c r="G1447" s="13"/>
      <c r="H1447" s="13"/>
      <c r="I1447" s="31"/>
      <c r="J1447" s="31"/>
      <c r="L1447" s="3"/>
    </row>
    <row r="1448" spans="1:18" ht="12" customHeight="1">
      <c r="L1448" s="3"/>
    </row>
    <row r="1449" spans="1:18" ht="12" customHeight="1">
      <c r="L1449"/>
    </row>
    <row r="1450" spans="1:18" ht="12" customHeight="1">
      <c r="L1450" s="3"/>
    </row>
    <row r="1451" spans="1:18" ht="12" customHeight="1">
      <c r="B1451" s="5"/>
      <c r="C1451" s="5"/>
      <c r="D1451" s="5"/>
      <c r="E1451" s="5"/>
      <c r="F1451" s="5"/>
      <c r="G1451" s="5"/>
      <c r="H1451" s="5"/>
      <c r="I1451" s="30"/>
      <c r="J1451" s="30"/>
      <c r="K1451" s="27"/>
      <c r="L1451" s="3"/>
    </row>
    <row r="1452" spans="1:18" ht="12" customHeight="1">
      <c r="B1452" s="5"/>
      <c r="C1452" s="5"/>
      <c r="D1452" s="5"/>
      <c r="E1452" s="5"/>
      <c r="F1452" s="5"/>
      <c r="G1452" s="5"/>
      <c r="H1452" s="5"/>
      <c r="I1452" s="30"/>
      <c r="J1452" s="30"/>
      <c r="K1452" s="27"/>
      <c r="L1452" s="3"/>
    </row>
    <row r="1453" spans="1:18" ht="12" customHeight="1">
      <c r="B1453" s="5"/>
      <c r="C1453" s="5"/>
      <c r="D1453" s="5"/>
      <c r="E1453" s="5"/>
      <c r="F1453" s="5"/>
      <c r="G1453" s="5"/>
      <c r="H1453" s="5"/>
      <c r="I1453" s="30"/>
      <c r="J1453" s="30"/>
      <c r="K1453" s="27"/>
      <c r="L1453" s="2"/>
    </row>
    <row r="1454" spans="1:18" ht="12" customHeight="1">
      <c r="B1454" s="5"/>
      <c r="C1454" s="5"/>
      <c r="D1454" s="5"/>
      <c r="E1454" s="5"/>
      <c r="F1454" s="5"/>
      <c r="G1454" s="5"/>
      <c r="H1454" s="5"/>
      <c r="I1454" s="30"/>
      <c r="J1454" s="30"/>
      <c r="K1454" s="27"/>
      <c r="L1454" s="3"/>
    </row>
    <row r="1455" spans="1:18" ht="12" customHeight="1">
      <c r="B1455" s="5"/>
      <c r="C1455" s="5"/>
      <c r="D1455" s="5"/>
      <c r="E1455" s="5"/>
      <c r="F1455" s="5"/>
      <c r="G1455" s="5"/>
      <c r="H1455" s="5"/>
      <c r="I1455" s="30"/>
      <c r="J1455" s="30"/>
      <c r="K1455" s="27"/>
      <c r="L1455" s="3"/>
    </row>
    <row r="1456" spans="1:18" ht="12.75" customHeight="1">
      <c r="B1456" s="5"/>
      <c r="C1456" s="5"/>
      <c r="D1456" s="5"/>
      <c r="E1456" s="5"/>
      <c r="F1456" s="5"/>
      <c r="G1456" s="5"/>
      <c r="H1456" s="5"/>
      <c r="I1456" s="30"/>
      <c r="J1456" s="30"/>
      <c r="K1456" s="27"/>
      <c r="L1456" s="3"/>
    </row>
    <row r="1457" spans="2:18" ht="12" customHeight="1">
      <c r="B1457" s="5"/>
      <c r="C1457" s="5"/>
      <c r="D1457" s="5"/>
      <c r="E1457" s="5"/>
      <c r="F1457" s="5"/>
      <c r="G1457" s="5"/>
      <c r="H1457" s="5"/>
      <c r="I1457" s="30"/>
      <c r="J1457" s="30"/>
      <c r="K1457" s="27"/>
      <c r="L1457" s="3"/>
    </row>
    <row r="1458" spans="2:18" ht="12" customHeight="1">
      <c r="B1458" s="5"/>
      <c r="C1458" s="5"/>
      <c r="D1458" s="5"/>
      <c r="E1458" s="5"/>
      <c r="F1458" s="5"/>
      <c r="G1458" s="5"/>
      <c r="H1458" s="5"/>
      <c r="I1458" s="30"/>
      <c r="J1458" s="30"/>
      <c r="K1458" s="27"/>
      <c r="L1458" s="3"/>
      <c r="M1458" s="5"/>
      <c r="N1458" s="5"/>
      <c r="O1458" s="5"/>
      <c r="P1458" s="5"/>
      <c r="Q1458" s="5"/>
      <c r="R1458" s="5"/>
    </row>
    <row r="1459" spans="2:18" ht="12.75" customHeight="1">
      <c r="B1459" s="5"/>
      <c r="C1459" s="5"/>
      <c r="D1459" s="5"/>
      <c r="E1459" s="5"/>
      <c r="F1459" s="5"/>
      <c r="G1459" s="5"/>
      <c r="H1459" s="5"/>
      <c r="I1459" s="30"/>
      <c r="J1459" s="30"/>
      <c r="K1459" s="27"/>
      <c r="L1459" s="3"/>
    </row>
    <row r="1460" spans="2:18" ht="12" customHeight="1">
      <c r="B1460" s="5"/>
      <c r="C1460" s="5"/>
      <c r="D1460" s="5"/>
      <c r="E1460" s="5"/>
      <c r="F1460" s="5"/>
      <c r="G1460" s="5"/>
      <c r="H1460" s="5"/>
      <c r="I1460" s="30"/>
      <c r="J1460" s="30"/>
      <c r="K1460" s="27"/>
      <c r="L1460" s="5"/>
    </row>
    <row r="1461" spans="2:18" ht="12" customHeight="1">
      <c r="B1461" s="5"/>
      <c r="C1461" s="5"/>
      <c r="D1461" s="5"/>
      <c r="E1461" s="5"/>
      <c r="F1461" s="5"/>
      <c r="G1461" s="5"/>
      <c r="H1461" s="5"/>
      <c r="I1461" s="30"/>
      <c r="J1461" s="30"/>
      <c r="K1461" s="27"/>
      <c r="L1461" s="3"/>
    </row>
    <row r="1462" spans="2:18" ht="12" customHeight="1">
      <c r="B1462" s="5"/>
      <c r="C1462" s="5"/>
      <c r="D1462" s="5"/>
      <c r="E1462" s="5"/>
      <c r="F1462" s="5"/>
      <c r="G1462" s="5"/>
      <c r="H1462" s="5"/>
      <c r="I1462" s="30"/>
      <c r="J1462" s="30"/>
      <c r="K1462" s="27"/>
      <c r="L1462" s="3"/>
    </row>
    <row r="1463" spans="2:18" ht="12" customHeight="1">
      <c r="B1463" s="13"/>
      <c r="C1463" s="13"/>
      <c r="D1463" s="13"/>
      <c r="E1463" s="13"/>
      <c r="F1463" s="13"/>
      <c r="G1463" s="13"/>
      <c r="H1463" s="13"/>
      <c r="I1463" s="31"/>
      <c r="J1463" s="31"/>
      <c r="L1463" s="3"/>
    </row>
    <row r="1464" spans="2:18" ht="12" customHeight="1">
      <c r="B1464" s="2"/>
      <c r="C1464" s="2"/>
      <c r="D1464" s="2"/>
      <c r="E1464" s="2"/>
      <c r="F1464" s="2"/>
      <c r="G1464" s="2"/>
      <c r="H1464" s="2"/>
      <c r="I1464" s="29"/>
      <c r="J1464" s="29"/>
      <c r="K1464" s="41"/>
      <c r="L1464" s="3"/>
    </row>
    <row r="1465" spans="2:18" ht="12.75" customHeight="1">
      <c r="B1465" s="2"/>
      <c r="C1465" s="2"/>
      <c r="D1465" s="2"/>
      <c r="E1465" s="2"/>
      <c r="F1465" s="2"/>
      <c r="G1465" s="2"/>
      <c r="H1465" s="2"/>
      <c r="I1465" s="29"/>
      <c r="J1465" s="29"/>
      <c r="K1465" s="41"/>
      <c r="L1465" s="3"/>
    </row>
    <row r="1466" spans="2:18" ht="12" customHeight="1">
      <c r="B1466" s="2"/>
      <c r="C1466" s="2"/>
      <c r="D1466" s="2"/>
      <c r="E1466" s="2"/>
      <c r="F1466" s="2"/>
      <c r="G1466" s="2"/>
      <c r="H1466" s="2"/>
      <c r="I1466" s="29"/>
      <c r="J1466" s="29"/>
      <c r="K1466" s="41"/>
      <c r="L1466" s="3"/>
    </row>
    <row r="1467" spans="2:18" ht="12" customHeight="1">
      <c r="B1467" s="5"/>
      <c r="C1467" s="5"/>
      <c r="D1467" s="5"/>
      <c r="E1467" s="5"/>
      <c r="F1467" s="5"/>
      <c r="G1467" s="5"/>
      <c r="H1467" s="5"/>
      <c r="I1467" s="30"/>
      <c r="J1467" s="30"/>
      <c r="K1467" s="27"/>
      <c r="L1467" s="5"/>
      <c r="M1467" s="5"/>
      <c r="N1467" s="5"/>
      <c r="O1467" s="5"/>
      <c r="P1467" s="5"/>
      <c r="Q1467" s="5"/>
      <c r="R1467" s="5"/>
    </row>
    <row r="1468" spans="2:18" ht="13.5" customHeight="1">
      <c r="B1468" s="5"/>
      <c r="C1468" s="5"/>
      <c r="D1468" s="5"/>
      <c r="E1468" s="5"/>
      <c r="F1468" s="5"/>
      <c r="G1468" s="5"/>
      <c r="H1468" s="5"/>
      <c r="I1468" s="30"/>
      <c r="J1468" s="30"/>
      <c r="K1468" s="27"/>
      <c r="L1468" s="3"/>
    </row>
    <row r="1469" spans="2:18" ht="12" customHeight="1">
      <c r="L1469" s="5"/>
    </row>
    <row r="1470" spans="2:18" ht="12" customHeight="1">
      <c r="L1470" s="3"/>
      <c r="M1470" s="5"/>
      <c r="N1470" s="5"/>
      <c r="O1470" s="5"/>
      <c r="P1470" s="5"/>
      <c r="Q1470" s="5"/>
      <c r="R1470" s="5"/>
    </row>
    <row r="1471" spans="2:18" ht="12" customHeight="1">
      <c r="B1471" s="2"/>
      <c r="C1471" s="2"/>
      <c r="D1471" s="2"/>
      <c r="E1471" s="2"/>
      <c r="F1471" s="2"/>
      <c r="G1471" s="2"/>
      <c r="H1471" s="2"/>
      <c r="I1471" s="29"/>
      <c r="J1471" s="29"/>
      <c r="K1471" s="41"/>
      <c r="L1471" s="3"/>
    </row>
    <row r="1472" spans="2:18" ht="12" customHeight="1">
      <c r="B1472" s="2"/>
      <c r="C1472" s="2"/>
      <c r="D1472" s="2"/>
      <c r="E1472" s="2"/>
      <c r="F1472" s="2"/>
      <c r="G1472" s="2"/>
      <c r="H1472" s="2"/>
      <c r="I1472" s="29"/>
      <c r="J1472" s="29"/>
      <c r="K1472" s="41"/>
      <c r="L1472" s="3"/>
    </row>
    <row r="1473" spans="1:18" ht="12" customHeight="1">
      <c r="L1473" s="3"/>
    </row>
    <row r="1474" spans="1:18" ht="12" customHeight="1">
      <c r="L1474" s="2"/>
    </row>
    <row r="1475" spans="1:18" customFormat="1" ht="13.5" customHeight="1">
      <c r="A1475" s="2"/>
      <c r="B1475" s="6"/>
      <c r="C1475" s="4"/>
      <c r="D1475" s="6"/>
      <c r="E1475" s="7"/>
      <c r="F1475" s="8"/>
      <c r="G1475" s="9"/>
      <c r="H1475" s="9"/>
      <c r="I1475" s="27"/>
      <c r="J1475" s="28"/>
      <c r="K1475" s="39"/>
      <c r="L1475" s="3"/>
      <c r="M1475" s="3"/>
      <c r="N1475" s="3"/>
      <c r="O1475" s="3"/>
      <c r="P1475" s="3"/>
      <c r="Q1475" s="3"/>
      <c r="R1475" s="3"/>
    </row>
    <row r="1476" spans="1:18" ht="12" customHeight="1">
      <c r="A1476" s="5"/>
      <c r="B1476" s="13"/>
      <c r="C1476" s="13"/>
      <c r="D1476" s="13"/>
      <c r="E1476" s="13"/>
      <c r="F1476" s="13"/>
      <c r="G1476" s="13"/>
      <c r="H1476" s="13"/>
      <c r="I1476" s="31"/>
      <c r="J1476" s="31"/>
      <c r="L1476" s="2"/>
      <c r="M1476"/>
      <c r="N1476"/>
      <c r="O1476"/>
      <c r="P1476"/>
      <c r="Q1476"/>
      <c r="R1476"/>
    </row>
    <row r="1477" spans="1:18" ht="12" customHeight="1">
      <c r="L1477" s="2"/>
    </row>
    <row r="1478" spans="1:18" ht="12" customHeight="1">
      <c r="L1478" s="3"/>
    </row>
    <row r="1479" spans="1:18" s="11" customFormat="1" ht="12" customHeight="1">
      <c r="A1479" s="4"/>
      <c r="B1479" s="6"/>
      <c r="C1479" s="4"/>
      <c r="D1479" s="6"/>
      <c r="E1479" s="7"/>
      <c r="F1479" s="8"/>
      <c r="G1479" s="9"/>
      <c r="H1479" s="9"/>
      <c r="I1479" s="27"/>
      <c r="J1479" s="28"/>
      <c r="K1479" s="39"/>
      <c r="L1479" s="2"/>
      <c r="M1479" s="2"/>
      <c r="N1479" s="2"/>
      <c r="O1479" s="2"/>
      <c r="P1479" s="2"/>
      <c r="Q1479" s="2"/>
      <c r="R1479" s="2"/>
    </row>
    <row r="1480" spans="1:18" ht="12" customHeight="1">
      <c r="B1480" s="5"/>
      <c r="C1480" s="5"/>
      <c r="D1480" s="5"/>
      <c r="E1480" s="5"/>
      <c r="F1480" s="5"/>
      <c r="G1480" s="5"/>
      <c r="H1480" s="5"/>
      <c r="I1480" s="30"/>
      <c r="J1480" s="30"/>
      <c r="K1480" s="27"/>
      <c r="L1480" s="5"/>
    </row>
    <row r="1481" spans="1:18" s="5" customFormat="1" ht="12" customHeight="1">
      <c r="A1481" s="4"/>
      <c r="B1481" s="2"/>
      <c r="C1481" s="2"/>
      <c r="D1481" s="2"/>
      <c r="E1481" s="2"/>
      <c r="F1481" s="2"/>
      <c r="G1481" s="2"/>
      <c r="H1481" s="2"/>
      <c r="I1481" s="29"/>
      <c r="J1481" s="29"/>
      <c r="K1481" s="41"/>
      <c r="L1481" s="3"/>
      <c r="M1481" s="3"/>
      <c r="N1481" s="3"/>
      <c r="O1481" s="3"/>
      <c r="P1481" s="3"/>
      <c r="Q1481" s="3"/>
      <c r="R1481" s="3"/>
    </row>
    <row r="1482" spans="1:18" ht="12" customHeight="1">
      <c r="B1482" s="2"/>
      <c r="C1482" s="2"/>
      <c r="D1482" s="2"/>
      <c r="E1482" s="2"/>
      <c r="F1482" s="2"/>
      <c r="G1482" s="2"/>
      <c r="H1482" s="2"/>
      <c r="I1482" s="29"/>
      <c r="J1482" s="29"/>
      <c r="K1482" s="41"/>
      <c r="L1482" s="2"/>
    </row>
    <row r="1483" spans="1:18" ht="12" customHeight="1">
      <c r="B1483" s="2"/>
      <c r="C1483" s="2"/>
      <c r="D1483" s="2"/>
      <c r="E1483" s="2"/>
      <c r="F1483" s="2"/>
      <c r="G1483" s="2"/>
      <c r="H1483" s="2"/>
      <c r="I1483" s="29"/>
      <c r="J1483" s="29"/>
      <c r="K1483" s="41"/>
      <c r="L1483" s="2"/>
    </row>
    <row r="1484" spans="1:18" ht="12" customHeight="1">
      <c r="B1484" s="2"/>
      <c r="C1484" s="2"/>
      <c r="D1484" s="2"/>
      <c r="E1484" s="2"/>
      <c r="F1484" s="2"/>
      <c r="G1484" s="2"/>
      <c r="H1484" s="2"/>
      <c r="I1484" s="29"/>
      <c r="J1484" s="29"/>
      <c r="K1484" s="41"/>
      <c r="L1484" s="3"/>
    </row>
    <row r="1485" spans="1:18" ht="12" customHeight="1">
      <c r="B1485" s="2"/>
      <c r="C1485" s="2"/>
      <c r="D1485" s="2"/>
      <c r="E1485" s="2"/>
      <c r="F1485" s="2"/>
      <c r="G1485" s="2"/>
      <c r="H1485" s="2"/>
      <c r="I1485" s="29"/>
      <c r="J1485" s="29"/>
      <c r="K1485" s="41"/>
      <c r="L1485" s="2"/>
    </row>
    <row r="1486" spans="1:18" ht="12" customHeight="1">
      <c r="B1486" s="2"/>
      <c r="C1486" s="2"/>
      <c r="D1486" s="2"/>
      <c r="E1486" s="2"/>
      <c r="F1486" s="2"/>
      <c r="G1486" s="2"/>
      <c r="H1486" s="2"/>
      <c r="I1486" s="29"/>
      <c r="J1486" s="29"/>
      <c r="K1486" s="41"/>
      <c r="L1486" s="3"/>
    </row>
    <row r="1487" spans="1:18" ht="12" customHeight="1">
      <c r="B1487" s="2"/>
      <c r="C1487" s="2"/>
      <c r="D1487" s="2"/>
      <c r="E1487" s="2"/>
      <c r="F1487" s="2"/>
      <c r="G1487" s="2"/>
      <c r="H1487" s="2"/>
      <c r="I1487" s="29"/>
      <c r="J1487" s="29"/>
      <c r="K1487" s="41"/>
      <c r="L1487" s="3"/>
    </row>
    <row r="1488" spans="1:18" ht="12" customHeight="1">
      <c r="B1488" s="2"/>
      <c r="C1488" s="2"/>
      <c r="D1488" s="2"/>
      <c r="E1488" s="2"/>
      <c r="F1488" s="2"/>
      <c r="G1488" s="2"/>
      <c r="H1488" s="2"/>
      <c r="I1488" s="29"/>
      <c r="J1488" s="29"/>
      <c r="K1488" s="41"/>
      <c r="L1488" s="5"/>
    </row>
    <row r="1489" spans="1:18" ht="12" customHeight="1">
      <c r="L1489" s="3"/>
    </row>
    <row r="1490" spans="1:18" ht="12" customHeight="1">
      <c r="L1490" s="2"/>
    </row>
    <row r="1491" spans="1:18" ht="12" customHeight="1">
      <c r="L1491" s="3"/>
    </row>
    <row r="1492" spans="1:18" ht="12.75" customHeight="1">
      <c r="L1492" s="3"/>
    </row>
    <row r="1493" spans="1:18" ht="12" customHeight="1">
      <c r="L1493" s="3"/>
    </row>
    <row r="1494" spans="1:18" ht="12" customHeight="1">
      <c r="L1494" s="3"/>
    </row>
    <row r="1495" spans="1:18" s="5" customFormat="1" ht="12" customHeight="1">
      <c r="A1495" s="4"/>
      <c r="B1495" s="6"/>
      <c r="C1495" s="4"/>
      <c r="D1495" s="6"/>
      <c r="E1495" s="7"/>
      <c r="F1495" s="8"/>
      <c r="G1495" s="9"/>
      <c r="H1495" s="9"/>
      <c r="I1495" s="27"/>
      <c r="J1495" s="28"/>
      <c r="K1495" s="39"/>
      <c r="L1495" s="17"/>
      <c r="M1495" s="3"/>
      <c r="N1495" s="3"/>
      <c r="O1495" s="3"/>
      <c r="P1495" s="3"/>
      <c r="Q1495" s="3"/>
      <c r="R1495" s="3"/>
    </row>
    <row r="1496" spans="1:18" s="5" customFormat="1" ht="12.75" customHeight="1">
      <c r="A1496" s="4"/>
      <c r="B1496" s="6"/>
      <c r="C1496" s="4"/>
      <c r="D1496" s="6"/>
      <c r="E1496" s="7"/>
      <c r="F1496" s="8"/>
      <c r="G1496" s="9"/>
      <c r="H1496" s="9"/>
      <c r="I1496" s="27"/>
      <c r="J1496" s="28"/>
      <c r="K1496" s="39"/>
      <c r="L1496" s="17"/>
      <c r="M1496" s="3"/>
      <c r="N1496" s="3"/>
      <c r="O1496" s="3"/>
      <c r="P1496" s="3"/>
      <c r="Q1496" s="3"/>
      <c r="R1496" s="3"/>
    </row>
    <row r="1497" spans="1:18" ht="12" customHeight="1">
      <c r="L1497" s="17"/>
    </row>
    <row r="1498" spans="1:18" ht="12" customHeight="1">
      <c r="L1498" s="17"/>
    </row>
    <row r="1499" spans="1:18" ht="12" customHeight="1">
      <c r="L1499" s="17"/>
    </row>
    <row r="1500" spans="1:18" ht="12" customHeight="1">
      <c r="A1500" s="5"/>
      <c r="L1500" s="17"/>
    </row>
    <row r="1501" spans="1:18" ht="11.25" customHeight="1">
      <c r="A1501" s="5"/>
      <c r="L1501" s="17"/>
    </row>
    <row r="1502" spans="1:18" ht="14.25" customHeight="1">
      <c r="L1502" s="17"/>
    </row>
    <row r="1503" spans="1:18" customFormat="1" ht="12" customHeight="1">
      <c r="A1503" s="4"/>
      <c r="B1503" s="6"/>
      <c r="C1503" s="4"/>
      <c r="D1503" s="6"/>
      <c r="E1503" s="7"/>
      <c r="F1503" s="8"/>
      <c r="G1503" s="9"/>
      <c r="H1503" s="9"/>
      <c r="I1503" s="27"/>
      <c r="J1503" s="28"/>
      <c r="K1503" s="39"/>
      <c r="L1503" s="17"/>
    </row>
    <row r="1504" spans="1:18" ht="12" customHeight="1">
      <c r="A1504" s="5"/>
      <c r="L1504" s="16"/>
      <c r="M1504"/>
      <c r="N1504"/>
      <c r="O1504"/>
      <c r="P1504"/>
      <c r="Q1504"/>
      <c r="R1504"/>
    </row>
    <row r="1505" spans="1:22" ht="12" customHeight="1">
      <c r="A1505" s="5"/>
      <c r="L1505" s="17"/>
    </row>
    <row r="1506" spans="1:22" ht="12" customHeight="1">
      <c r="L1506" s="17"/>
    </row>
    <row r="1507" spans="1:22" ht="12" customHeight="1">
      <c r="L1507" s="17"/>
    </row>
    <row r="1508" spans="1:22" ht="12" customHeight="1">
      <c r="L1508" s="17"/>
    </row>
    <row r="1509" spans="1:22" ht="12" customHeight="1">
      <c r="L1509" s="17"/>
    </row>
    <row r="1510" spans="1:22" ht="12" customHeight="1">
      <c r="L1510" s="17"/>
    </row>
    <row r="1511" spans="1:22" ht="12.75" customHeight="1">
      <c r="A1511" s="2"/>
      <c r="L1511" s="17"/>
    </row>
    <row r="1512" spans="1:22" ht="12" customHeight="1">
      <c r="B1512" s="2"/>
      <c r="C1512" s="2"/>
      <c r="D1512" s="2"/>
      <c r="E1512" s="2"/>
      <c r="F1512" s="2"/>
      <c r="G1512" s="2"/>
      <c r="H1512" s="2"/>
      <c r="I1512" s="29"/>
      <c r="J1512" s="29"/>
      <c r="K1512" s="41"/>
      <c r="L1512" s="17"/>
    </row>
    <row r="1513" spans="1:22" ht="12" customHeight="1">
      <c r="L1513" s="17"/>
    </row>
    <row r="1514" spans="1:22" ht="12" customHeight="1">
      <c r="L1514" s="17"/>
    </row>
    <row r="1515" spans="1:22" s="5" customFormat="1" ht="12" customHeight="1">
      <c r="A1515" s="4"/>
      <c r="B1515" s="6"/>
      <c r="C1515" s="4"/>
      <c r="D1515" s="6"/>
      <c r="E1515" s="7"/>
      <c r="F1515" s="8"/>
      <c r="G1515" s="9"/>
      <c r="H1515" s="9"/>
      <c r="I1515" s="27"/>
      <c r="J1515" s="28"/>
      <c r="K1515" s="39"/>
      <c r="L1515" s="17"/>
      <c r="M1515" s="3"/>
      <c r="N1515" s="3"/>
      <c r="O1515" s="3"/>
      <c r="P1515" s="3"/>
      <c r="Q1515" s="3"/>
      <c r="R1515" s="3"/>
      <c r="S1515" s="3"/>
      <c r="T1515" s="3"/>
    </row>
    <row r="1516" spans="1:22" ht="12" customHeight="1">
      <c r="L1516" s="17"/>
    </row>
    <row r="1517" spans="1:22" ht="12" customHeight="1">
      <c r="L1517" s="17"/>
    </row>
    <row r="1518" spans="1:22" ht="12" customHeight="1">
      <c r="L1518" s="17"/>
    </row>
    <row r="1519" spans="1:22" customFormat="1" ht="12" customHeight="1">
      <c r="A1519" s="2"/>
      <c r="B1519" s="6"/>
      <c r="C1519" s="4"/>
      <c r="D1519" s="6"/>
      <c r="E1519" s="7"/>
      <c r="F1519" s="8"/>
      <c r="G1519" s="9"/>
      <c r="H1519" s="9"/>
      <c r="I1519" s="27"/>
      <c r="J1519" s="28"/>
      <c r="K1519" s="39"/>
      <c r="L1519" s="17"/>
      <c r="M1519" s="3"/>
      <c r="N1519" s="3"/>
      <c r="O1519" s="3"/>
      <c r="P1519" s="3"/>
      <c r="Q1519" s="3"/>
      <c r="R1519" s="3"/>
      <c r="S1519" s="3"/>
      <c r="T1519" s="3"/>
    </row>
    <row r="1520" spans="1:22" ht="13.5" customHeight="1">
      <c r="L1520" s="16"/>
      <c r="M1520"/>
      <c r="N1520"/>
      <c r="O1520"/>
      <c r="P1520"/>
      <c r="Q1520"/>
      <c r="R1520"/>
      <c r="S1520"/>
      <c r="T1520"/>
      <c r="U1520"/>
      <c r="V1520"/>
    </row>
    <row r="1521" spans="1:23" ht="12" customHeight="1">
      <c r="L1521" s="17"/>
    </row>
    <row r="1522" spans="1:23" ht="12" customHeight="1">
      <c r="A1522" s="2"/>
      <c r="L1522" s="17"/>
    </row>
    <row r="1523" spans="1:23" ht="12" customHeight="1">
      <c r="L1523" s="17"/>
    </row>
    <row r="1524" spans="1:23" ht="12" customHeight="1">
      <c r="L1524" s="17"/>
    </row>
    <row r="1525" spans="1:23" ht="12" customHeight="1">
      <c r="L1525" s="17"/>
    </row>
    <row r="1526" spans="1:23" ht="12" customHeight="1">
      <c r="L1526" s="17"/>
    </row>
    <row r="1527" spans="1:23" ht="12" customHeight="1">
      <c r="B1527" s="2"/>
      <c r="C1527" s="2"/>
      <c r="D1527" s="2"/>
      <c r="E1527" s="2"/>
      <c r="F1527" s="2"/>
      <c r="G1527" s="2"/>
      <c r="H1527" s="2"/>
      <c r="I1527" s="29"/>
      <c r="J1527" s="29"/>
      <c r="K1527" s="41"/>
      <c r="L1527" s="17"/>
    </row>
    <row r="1528" spans="1:23" ht="12" customHeight="1">
      <c r="L1528" s="17"/>
    </row>
    <row r="1529" spans="1:23" ht="14.25" customHeight="1">
      <c r="L1529" s="17"/>
      <c r="M1529"/>
      <c r="N1529"/>
      <c r="O1529"/>
      <c r="P1529"/>
      <c r="Q1529"/>
      <c r="R1529"/>
      <c r="S1529"/>
      <c r="T1529"/>
      <c r="U1529"/>
      <c r="V1529"/>
      <c r="W1529"/>
    </row>
    <row r="1530" spans="1:23" customFormat="1" ht="12" customHeight="1">
      <c r="A1530" s="4"/>
      <c r="B1530" s="6"/>
      <c r="C1530" s="4"/>
      <c r="D1530" s="6"/>
      <c r="E1530" s="7"/>
      <c r="F1530" s="8"/>
      <c r="G1530" s="9"/>
      <c r="H1530" s="9"/>
      <c r="I1530" s="27"/>
      <c r="J1530" s="28"/>
      <c r="K1530" s="39"/>
      <c r="L1530" s="17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</row>
    <row r="1531" spans="1:23" ht="12" customHeight="1">
      <c r="L1531" s="17"/>
      <c r="M1531"/>
      <c r="N1531"/>
      <c r="O1531"/>
      <c r="P1531"/>
      <c r="Q1531"/>
      <c r="R1531"/>
      <c r="S1531"/>
      <c r="T1531"/>
      <c r="U1531"/>
      <c r="V1531"/>
      <c r="W1531"/>
    </row>
    <row r="1532" spans="1:23" ht="13.5" customHeight="1">
      <c r="L1532" s="17"/>
    </row>
    <row r="1533" spans="1:23" ht="12" customHeight="1">
      <c r="L1533" s="17"/>
    </row>
    <row r="1534" spans="1:23" ht="12" customHeight="1">
      <c r="A1534" s="2"/>
      <c r="L1534" s="17"/>
    </row>
    <row r="1535" spans="1:23" ht="12" customHeight="1">
      <c r="L1535" s="17"/>
    </row>
    <row r="1536" spans="1:23" ht="13.5" customHeight="1">
      <c r="L1536" s="17"/>
    </row>
    <row r="1537" spans="1:23" ht="12.75" customHeight="1">
      <c r="L1537" s="17"/>
    </row>
    <row r="1538" spans="1:23" ht="13.5" customHeight="1">
      <c r="A1538" s="5"/>
      <c r="B1538" s="2"/>
      <c r="C1538" s="2"/>
      <c r="D1538" s="2"/>
      <c r="E1538" s="2"/>
      <c r="F1538" s="2"/>
      <c r="G1538" s="2"/>
      <c r="H1538" s="2"/>
      <c r="I1538" s="29"/>
      <c r="J1538" s="29"/>
      <c r="K1538" s="41"/>
      <c r="L1538" s="17"/>
    </row>
    <row r="1539" spans="1:23" ht="15" customHeight="1">
      <c r="B1539" s="2"/>
      <c r="C1539" s="2"/>
      <c r="D1539" s="2"/>
      <c r="E1539" s="2"/>
      <c r="F1539" s="2"/>
      <c r="G1539" s="2"/>
      <c r="H1539" s="2"/>
      <c r="I1539" s="29"/>
      <c r="J1539" s="29"/>
      <c r="K1539" s="41"/>
      <c r="L1539" s="17"/>
    </row>
    <row r="1540" spans="1:23" ht="12" customHeight="1">
      <c r="B1540" s="2"/>
      <c r="C1540" s="2"/>
      <c r="D1540" s="2"/>
      <c r="E1540" s="2"/>
      <c r="F1540" s="2"/>
      <c r="G1540" s="2"/>
      <c r="H1540" s="2"/>
      <c r="I1540" s="29"/>
      <c r="J1540" s="29"/>
      <c r="K1540" s="41"/>
      <c r="L1540" s="17"/>
    </row>
    <row r="1541" spans="1:23" ht="12" customHeight="1">
      <c r="L1541" s="17"/>
    </row>
    <row r="1542" spans="1:23" ht="12" customHeight="1">
      <c r="L1542" s="17"/>
    </row>
    <row r="1543" spans="1:23" ht="12" customHeight="1">
      <c r="L1543" s="17"/>
    </row>
    <row r="1544" spans="1:23" customFormat="1" ht="12" customHeight="1">
      <c r="A1544" s="4"/>
      <c r="B1544" s="6"/>
      <c r="C1544" s="4"/>
      <c r="D1544" s="6"/>
      <c r="E1544" s="7"/>
      <c r="F1544" s="8"/>
      <c r="G1544" s="9"/>
      <c r="H1544" s="9"/>
      <c r="I1544" s="27"/>
      <c r="J1544" s="28"/>
      <c r="K1544" s="39"/>
      <c r="L1544" s="17"/>
    </row>
    <row r="1545" spans="1:23" ht="12" customHeight="1">
      <c r="L1545" s="17"/>
    </row>
    <row r="1546" spans="1:23" ht="12" customHeight="1">
      <c r="L1546" s="17"/>
    </row>
    <row r="1547" spans="1:23" s="2" customFormat="1" ht="12" customHeight="1">
      <c r="A1547" s="4"/>
      <c r="B1547" s="6"/>
      <c r="C1547" s="4"/>
      <c r="D1547" s="6"/>
      <c r="E1547" s="7"/>
      <c r="F1547" s="8"/>
      <c r="G1547" s="9"/>
      <c r="H1547" s="9"/>
      <c r="I1547" s="27"/>
      <c r="J1547" s="28"/>
      <c r="K1547" s="39"/>
      <c r="L1547" s="17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</row>
    <row r="1548" spans="1:23" s="5" customFormat="1" ht="12" customHeight="1">
      <c r="A1548" s="4"/>
      <c r="B1548" s="6"/>
      <c r="C1548" s="4"/>
      <c r="D1548" s="6"/>
      <c r="E1548" s="7"/>
      <c r="F1548" s="8"/>
      <c r="G1548" s="9"/>
      <c r="H1548" s="9"/>
      <c r="I1548" s="27"/>
      <c r="J1548" s="28"/>
      <c r="K1548" s="39"/>
      <c r="L1548" s="17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spans="1:23" ht="12" customHeight="1">
      <c r="B1549" s="5"/>
      <c r="C1549" s="5"/>
      <c r="D1549" s="5"/>
      <c r="E1549" s="5"/>
      <c r="F1549" s="5"/>
      <c r="G1549" s="5"/>
      <c r="H1549" s="5"/>
      <c r="I1549" s="30"/>
      <c r="J1549" s="30"/>
      <c r="K1549" s="27"/>
      <c r="L1549" s="17"/>
    </row>
    <row r="1550" spans="1:23" ht="12" customHeight="1">
      <c r="B1550" s="5"/>
      <c r="C1550" s="5"/>
      <c r="D1550" s="5"/>
      <c r="E1550" s="5"/>
      <c r="F1550" s="5"/>
      <c r="G1550" s="5"/>
      <c r="H1550" s="5"/>
      <c r="I1550" s="30"/>
      <c r="J1550" s="30"/>
      <c r="K1550" s="27"/>
      <c r="L1550" s="16"/>
    </row>
    <row r="1551" spans="1:23" ht="12" customHeight="1">
      <c r="B1551" s="5"/>
      <c r="C1551" s="5"/>
      <c r="D1551" s="5"/>
      <c r="E1551" s="5"/>
      <c r="F1551" s="5"/>
      <c r="G1551" s="5"/>
      <c r="H1551" s="5"/>
      <c r="I1551" s="30"/>
      <c r="J1551" s="30"/>
      <c r="K1551" s="27"/>
      <c r="L1551" s="17"/>
    </row>
    <row r="1552" spans="1:23" ht="12" customHeight="1">
      <c r="B1552" s="5"/>
      <c r="C1552" s="5"/>
      <c r="D1552" s="5"/>
      <c r="E1552" s="5"/>
      <c r="F1552" s="5"/>
      <c r="G1552" s="5"/>
      <c r="H1552" s="5"/>
      <c r="I1552" s="30"/>
      <c r="J1552" s="30"/>
      <c r="K1552" s="27"/>
      <c r="L1552" s="17"/>
    </row>
    <row r="1553" spans="1:26" ht="12" customHeight="1">
      <c r="L1553" s="17"/>
    </row>
    <row r="1554" spans="1:26" ht="12" customHeight="1">
      <c r="A1554" s="11"/>
      <c r="L1554" s="17"/>
    </row>
    <row r="1555" spans="1:26" ht="12" customHeight="1">
      <c r="L1555" s="17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1:26" ht="12" customHeight="1">
      <c r="L1556" s="17"/>
    </row>
    <row r="1557" spans="1:26" ht="12" customHeight="1">
      <c r="L1557" s="17"/>
    </row>
    <row r="1558" spans="1:26" ht="12" customHeight="1">
      <c r="L1558" s="17"/>
    </row>
    <row r="1559" spans="1:26" ht="12" customHeight="1">
      <c r="L1559" s="17"/>
    </row>
    <row r="1560" spans="1:26" ht="12" customHeight="1">
      <c r="L1560" s="17"/>
    </row>
    <row r="1561" spans="1:26" ht="12" customHeight="1">
      <c r="L1561" s="17"/>
    </row>
    <row r="1562" spans="1:26" customFormat="1" ht="12" customHeight="1">
      <c r="A1562" s="4"/>
      <c r="B1562" s="6"/>
      <c r="C1562" s="4"/>
      <c r="D1562" s="6"/>
      <c r="E1562" s="7"/>
      <c r="F1562" s="8"/>
      <c r="G1562" s="9"/>
      <c r="H1562" s="9"/>
      <c r="I1562" s="27"/>
      <c r="J1562" s="28"/>
      <c r="K1562" s="39"/>
      <c r="L1562" s="17"/>
    </row>
    <row r="1563" spans="1:26" ht="12" customHeight="1">
      <c r="L1563" s="17"/>
    </row>
    <row r="1564" spans="1:26" customFormat="1" ht="12" customHeight="1">
      <c r="A1564" s="4"/>
      <c r="B1564" s="6"/>
      <c r="C1564" s="4"/>
      <c r="D1564" s="6"/>
      <c r="E1564" s="7"/>
      <c r="F1564" s="8"/>
      <c r="G1564" s="9"/>
      <c r="H1564" s="9"/>
      <c r="I1564" s="27"/>
      <c r="J1564" s="28"/>
      <c r="K1564" s="39"/>
      <c r="L1564" s="17"/>
    </row>
    <row r="1565" spans="1:26" customFormat="1" ht="12" customHeight="1">
      <c r="A1565" s="4"/>
      <c r="B1565" s="6"/>
      <c r="C1565" s="4"/>
      <c r="D1565" s="6"/>
      <c r="E1565" s="7"/>
      <c r="F1565" s="8"/>
      <c r="G1565" s="9"/>
      <c r="H1565" s="9"/>
      <c r="I1565" s="27"/>
      <c r="J1565" s="28"/>
      <c r="K1565" s="39"/>
      <c r="L1565" s="17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2" customHeight="1">
      <c r="B1566" s="5"/>
      <c r="C1566" s="5"/>
      <c r="D1566" s="5"/>
      <c r="E1566" s="5"/>
      <c r="F1566" s="5"/>
      <c r="G1566" s="5"/>
      <c r="H1566" s="5"/>
      <c r="I1566" s="30"/>
      <c r="J1566" s="30"/>
      <c r="K1566" s="27"/>
      <c r="L1566" s="17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</row>
    <row r="1567" spans="1:26" customFormat="1" ht="12.75" customHeight="1">
      <c r="A1567" s="4"/>
      <c r="B1567" s="5"/>
      <c r="C1567" s="5"/>
      <c r="D1567" s="5"/>
      <c r="E1567" s="5"/>
      <c r="F1567" s="5"/>
      <c r="G1567" s="5"/>
      <c r="H1567" s="5"/>
      <c r="I1567" s="30"/>
      <c r="J1567" s="30"/>
      <c r="K1567" s="27"/>
      <c r="L1567" s="17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2" customHeight="1">
      <c r="B1568" s="5"/>
      <c r="C1568" s="5"/>
      <c r="D1568" s="5"/>
      <c r="E1568" s="5"/>
      <c r="F1568" s="5"/>
      <c r="G1568" s="5"/>
      <c r="H1568" s="5"/>
      <c r="I1568" s="30"/>
      <c r="J1568" s="30"/>
      <c r="K1568" s="27"/>
      <c r="L1568" s="17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</row>
    <row r="1569" spans="1:26" ht="12" customHeight="1">
      <c r="B1569" s="5"/>
      <c r="C1569" s="5"/>
      <c r="D1569" s="5"/>
      <c r="E1569" s="5"/>
      <c r="F1569" s="5"/>
      <c r="G1569" s="5"/>
      <c r="H1569" s="5"/>
      <c r="I1569" s="30"/>
      <c r="J1569" s="30"/>
      <c r="K1569" s="27"/>
      <c r="L1569" s="17"/>
    </row>
    <row r="1570" spans="1:26" customFormat="1" ht="12" customHeight="1">
      <c r="A1570" s="4"/>
      <c r="B1570" s="5"/>
      <c r="C1570" s="5"/>
      <c r="D1570" s="5"/>
      <c r="E1570" s="5"/>
      <c r="F1570" s="5"/>
      <c r="G1570" s="5"/>
      <c r="H1570" s="5"/>
      <c r="I1570" s="30"/>
      <c r="J1570" s="30"/>
      <c r="K1570" s="27"/>
      <c r="L1570" s="17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2" customHeight="1">
      <c r="B1571" s="5"/>
      <c r="C1571" s="5"/>
      <c r="D1571" s="5"/>
      <c r="E1571" s="5"/>
      <c r="F1571" s="5"/>
      <c r="G1571" s="5"/>
      <c r="H1571" s="5"/>
      <c r="I1571" s="30"/>
      <c r="J1571" s="30"/>
      <c r="K1571" s="27"/>
      <c r="L1571" s="17"/>
    </row>
    <row r="1572" spans="1:26" s="5" customFormat="1" ht="12" customHeight="1">
      <c r="A1572" s="4"/>
      <c r="I1572" s="30"/>
      <c r="J1572" s="30"/>
      <c r="K1572" s="27"/>
      <c r="L1572" s="17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s="5" customFormat="1" ht="12" customHeight="1">
      <c r="A1573" s="4"/>
      <c r="I1573" s="30"/>
      <c r="J1573" s="30"/>
      <c r="K1573" s="27"/>
      <c r="L1573" s="17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2.75" customHeight="1">
      <c r="B1574" s="5"/>
      <c r="C1574" s="5"/>
      <c r="D1574" s="5"/>
      <c r="E1574" s="5"/>
      <c r="F1574" s="5"/>
      <c r="G1574" s="5"/>
      <c r="H1574" s="5"/>
      <c r="I1574" s="30"/>
      <c r="J1574" s="30"/>
      <c r="K1574" s="27"/>
      <c r="L1574" s="17"/>
    </row>
    <row r="1575" spans="1:26" ht="12" customHeight="1">
      <c r="B1575" s="5"/>
      <c r="C1575" s="5"/>
      <c r="D1575" s="5"/>
      <c r="E1575" s="5"/>
      <c r="F1575" s="5"/>
      <c r="G1575" s="5"/>
      <c r="H1575" s="5"/>
      <c r="I1575" s="30"/>
      <c r="J1575" s="30"/>
      <c r="K1575" s="27"/>
      <c r="L1575" s="17"/>
    </row>
    <row r="1576" spans="1:26" s="5" customFormat="1" ht="12" customHeight="1">
      <c r="A1576" s="4"/>
      <c r="B1576" s="6"/>
      <c r="C1576" s="4"/>
      <c r="D1576" s="6"/>
      <c r="E1576" s="7"/>
      <c r="F1576" s="8"/>
      <c r="G1576" s="9"/>
      <c r="H1576" s="9"/>
      <c r="I1576" s="27"/>
      <c r="J1576" s="28"/>
      <c r="K1576" s="39"/>
      <c r="L1576" s="17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s="5" customFormat="1" ht="12" customHeight="1">
      <c r="A1577" s="4"/>
      <c r="B1577" s="6"/>
      <c r="C1577" s="4"/>
      <c r="D1577" s="6"/>
      <c r="E1577" s="7"/>
      <c r="F1577" s="8"/>
      <c r="G1577" s="9"/>
      <c r="H1577" s="9"/>
      <c r="I1577" s="27"/>
      <c r="J1577" s="28"/>
      <c r="K1577" s="39"/>
      <c r="L1577" s="17"/>
    </row>
    <row r="1578" spans="1:26" ht="11.25" customHeight="1">
      <c r="L1578" s="17"/>
    </row>
    <row r="1579" spans="1:26" ht="12" customHeight="1">
      <c r="L1579" s="17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</row>
    <row r="1580" spans="1:26" ht="12" customHeight="1">
      <c r="L1580" s="17"/>
    </row>
    <row r="1581" spans="1:26" ht="12" customHeight="1">
      <c r="A1581" s="2"/>
      <c r="L1581" s="17"/>
    </row>
    <row r="1582" spans="1:26" ht="12" customHeight="1">
      <c r="B1582" s="19"/>
      <c r="C1582" s="10"/>
      <c r="D1582" s="19"/>
      <c r="E1582" s="10"/>
      <c r="F1582" s="20"/>
      <c r="G1582" s="21"/>
      <c r="H1582" s="22"/>
      <c r="I1582" s="33"/>
      <c r="J1582" s="33"/>
      <c r="K1582" s="33"/>
      <c r="L1582" s="17"/>
    </row>
    <row r="1583" spans="1:26" s="2" customFormat="1" ht="12" customHeight="1">
      <c r="A1583" s="4"/>
      <c r="B1583" s="4"/>
      <c r="C1583" s="6"/>
      <c r="D1583" s="4"/>
      <c r="E1583" s="6"/>
      <c r="F1583" s="7"/>
      <c r="G1583" s="8"/>
      <c r="H1583" s="9"/>
      <c r="I1583" s="27"/>
      <c r="J1583" s="27"/>
      <c r="K1583" s="27"/>
      <c r="L1583" s="17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2" customHeight="1">
      <c r="A1584" s="5"/>
      <c r="L1584" s="17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customFormat="1" ht="12" customHeight="1">
      <c r="A1585" s="4"/>
      <c r="B1585" s="6"/>
      <c r="C1585" s="4"/>
      <c r="D1585" s="6"/>
      <c r="E1585" s="7"/>
      <c r="F1585" s="8"/>
      <c r="G1585" s="9"/>
      <c r="H1585" s="9"/>
      <c r="I1585" s="27"/>
      <c r="J1585" s="28"/>
      <c r="K1585" s="39"/>
      <c r="L1585" s="17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2" customHeight="1">
      <c r="D1586" s="12"/>
      <c r="L1586" s="17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</row>
    <row r="1587" spans="1:26" customFormat="1" ht="12" customHeight="1">
      <c r="A1587" s="4"/>
      <c r="B1587" s="6"/>
      <c r="C1587" s="4"/>
      <c r="D1587" s="12"/>
      <c r="E1587" s="7"/>
      <c r="F1587" s="8"/>
      <c r="G1587" s="9"/>
      <c r="H1587" s="9"/>
      <c r="I1587" s="27"/>
      <c r="J1587" s="28"/>
      <c r="K1587" s="39"/>
      <c r="L1587" s="17"/>
    </row>
    <row r="1588" spans="1:26" customFormat="1" ht="12" customHeight="1">
      <c r="A1588" s="4"/>
      <c r="B1588" s="6"/>
      <c r="C1588" s="4"/>
      <c r="D1588" s="6"/>
      <c r="E1588" s="7"/>
      <c r="F1588" s="8"/>
      <c r="G1588" s="9"/>
      <c r="H1588" s="9"/>
      <c r="I1588" s="27"/>
      <c r="J1588" s="28"/>
      <c r="K1588" s="39"/>
      <c r="L1588" s="17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2" customHeight="1">
      <c r="L1589" s="16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</row>
    <row r="1590" spans="1:26" ht="12" customHeight="1">
      <c r="L1590" s="16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</row>
    <row r="1591" spans="1:26" s="2" customFormat="1" ht="12" customHeight="1">
      <c r="A1591" s="4"/>
      <c r="B1591" s="6"/>
      <c r="C1591" s="4"/>
      <c r="D1591" s="6"/>
      <c r="E1591" s="7"/>
      <c r="F1591" s="8"/>
      <c r="G1591" s="9"/>
      <c r="H1591" s="9"/>
      <c r="I1591" s="27"/>
      <c r="J1591" s="28"/>
      <c r="K1591" s="39"/>
      <c r="L1591" s="17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customFormat="1" ht="12" customHeight="1">
      <c r="A1592" s="4"/>
      <c r="B1592" s="6"/>
      <c r="C1592" s="4"/>
      <c r="D1592" s="6"/>
      <c r="E1592" s="7"/>
      <c r="F1592" s="8"/>
      <c r="G1592" s="9"/>
      <c r="H1592" s="9"/>
      <c r="I1592" s="27"/>
      <c r="J1592" s="28"/>
      <c r="K1592" s="39"/>
      <c r="L1592" s="17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2" customHeight="1">
      <c r="L1593" s="17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</row>
    <row r="1594" spans="1:26" s="2" customFormat="1" ht="12" customHeight="1">
      <c r="A1594" s="4"/>
      <c r="B1594" s="6"/>
      <c r="C1594" s="4"/>
      <c r="D1594" s="6"/>
      <c r="E1594" s="7"/>
      <c r="F1594" s="8"/>
      <c r="G1594" s="9"/>
      <c r="H1594" s="9"/>
      <c r="I1594" s="27"/>
      <c r="J1594" s="28"/>
      <c r="K1594" s="39"/>
      <c r="L1594" s="17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2" customHeight="1">
      <c r="L1595" s="17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2" customHeight="1">
      <c r="L1596" s="17"/>
    </row>
    <row r="1597" spans="1:26" ht="12" customHeight="1">
      <c r="L1597" s="17"/>
    </row>
    <row r="1598" spans="1:26" ht="12" customHeight="1">
      <c r="L1598" s="17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</row>
    <row r="1599" spans="1:26" customFormat="1" ht="12" customHeight="1">
      <c r="A1599" s="4"/>
      <c r="B1599" s="6"/>
      <c r="C1599" s="4"/>
      <c r="D1599" s="6"/>
      <c r="E1599" s="7"/>
      <c r="F1599" s="8"/>
      <c r="G1599" s="9"/>
      <c r="H1599" s="9"/>
      <c r="I1599" s="27"/>
      <c r="J1599" s="28"/>
      <c r="K1599" s="39"/>
      <c r="L1599" s="17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2" customHeight="1">
      <c r="L1600" s="17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</row>
    <row r="1601" spans="1:28" ht="12" customHeight="1">
      <c r="L1601" s="17"/>
    </row>
    <row r="1602" spans="1:28" ht="12" customHeight="1">
      <c r="L1602" s="17"/>
    </row>
    <row r="1603" spans="1:28" ht="14.25" customHeight="1">
      <c r="L1603" s="17"/>
    </row>
    <row r="1604" spans="1:28" ht="15" customHeight="1">
      <c r="L1604" s="17"/>
    </row>
    <row r="1605" spans="1:28" customFormat="1" ht="12" customHeight="1">
      <c r="A1605" s="4"/>
      <c r="B1605" s="6"/>
      <c r="C1605" s="4"/>
      <c r="D1605" s="6"/>
      <c r="E1605" s="7"/>
      <c r="F1605" s="8"/>
      <c r="G1605" s="9"/>
      <c r="H1605" s="9"/>
      <c r="I1605" s="27"/>
      <c r="J1605" s="28"/>
      <c r="K1605" s="39"/>
      <c r="L1605" s="17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</row>
    <row r="1606" spans="1:28" s="2" customFormat="1" ht="12" customHeight="1">
      <c r="A1606" s="4"/>
      <c r="B1606" s="6"/>
      <c r="C1606" s="4"/>
      <c r="D1606" s="6"/>
      <c r="E1606" s="7"/>
      <c r="F1606" s="8"/>
      <c r="G1606" s="9"/>
      <c r="H1606" s="9"/>
      <c r="I1606" s="27"/>
      <c r="J1606" s="28"/>
      <c r="K1606" s="39"/>
      <c r="L1606" s="17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:28" ht="12" customHeight="1">
      <c r="L1607" s="17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1:28" ht="12" customHeight="1">
      <c r="L1608" s="17"/>
    </row>
    <row r="1609" spans="1:28" ht="12" customHeight="1">
      <c r="L1609" s="17"/>
    </row>
    <row r="1610" spans="1:28" s="5" customFormat="1" ht="12" customHeight="1">
      <c r="A1610" s="4"/>
      <c r="B1610" s="6"/>
      <c r="C1610" s="4"/>
      <c r="D1610" s="6"/>
      <c r="E1610" s="7"/>
      <c r="F1610" s="8"/>
      <c r="G1610" s="9"/>
      <c r="H1610" s="9"/>
      <c r="I1610" s="27"/>
      <c r="J1610" s="28"/>
      <c r="K1610" s="39"/>
      <c r="L1610" s="17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</row>
    <row r="1611" spans="1:28" ht="11.25" customHeight="1">
      <c r="L1611" s="17"/>
    </row>
    <row r="1612" spans="1:28" ht="12.75" customHeight="1">
      <c r="L1612" s="17"/>
    </row>
    <row r="1613" spans="1:28" ht="12" customHeight="1">
      <c r="L1613" s="17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</row>
    <row r="1614" spans="1:28" ht="12" customHeight="1">
      <c r="L1614" s="17"/>
    </row>
    <row r="1615" spans="1:28" ht="12" customHeight="1">
      <c r="L1615" s="17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</row>
    <row r="1616" spans="1:28" ht="12" customHeight="1">
      <c r="L1616" s="17"/>
    </row>
    <row r="1617" spans="1:28" ht="12" customHeight="1">
      <c r="L1617" s="17"/>
    </row>
    <row r="1618" spans="1:28" ht="12" customHeight="1">
      <c r="L1618" s="17"/>
    </row>
    <row r="1619" spans="1:28" ht="12" customHeight="1">
      <c r="L1619" s="17"/>
    </row>
    <row r="1620" spans="1:28" ht="12" customHeight="1">
      <c r="L1620" s="17"/>
    </row>
    <row r="1621" spans="1:28" ht="12" customHeight="1">
      <c r="L1621" s="17"/>
    </row>
    <row r="1622" spans="1:28" ht="12" customHeight="1">
      <c r="L1622" s="17"/>
    </row>
    <row r="1623" spans="1:28" ht="12" customHeight="1">
      <c r="A1623" s="5"/>
      <c r="L1623" s="17"/>
    </row>
    <row r="1624" spans="1:28" ht="12" customHeight="1">
      <c r="A1624" s="5"/>
      <c r="L1624" s="17"/>
    </row>
    <row r="1625" spans="1:28" ht="12" customHeight="1">
      <c r="L1625" s="17"/>
    </row>
    <row r="1626" spans="1:28" s="11" customFormat="1" ht="12" customHeight="1">
      <c r="A1626" s="4"/>
      <c r="B1626" s="6"/>
      <c r="C1626" s="4"/>
      <c r="D1626" s="6"/>
      <c r="E1626" s="7"/>
      <c r="F1626" s="8"/>
      <c r="G1626" s="9"/>
      <c r="H1626" s="9"/>
      <c r="I1626" s="27"/>
      <c r="J1626" s="28"/>
      <c r="K1626" s="39"/>
      <c r="L1626" s="17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</row>
    <row r="1627" spans="1:28" ht="12" customHeight="1">
      <c r="L1627" s="17"/>
    </row>
    <row r="1628" spans="1:28" ht="12" customHeight="1">
      <c r="L1628" s="16"/>
    </row>
    <row r="1629" spans="1:28" ht="12" customHeight="1">
      <c r="L1629" s="16"/>
    </row>
    <row r="1630" spans="1:28" ht="12" customHeight="1">
      <c r="L1630" s="17"/>
    </row>
    <row r="1631" spans="1:28" ht="12" customHeight="1">
      <c r="L1631" s="17"/>
    </row>
    <row r="1632" spans="1:28" ht="12" customHeight="1">
      <c r="L1632" s="17"/>
    </row>
    <row r="1633" spans="1:28" customFormat="1" ht="12" customHeight="1">
      <c r="A1633" s="4"/>
      <c r="B1633" s="6"/>
      <c r="C1633" s="4"/>
      <c r="D1633" s="6"/>
      <c r="E1633" s="7"/>
      <c r="F1633" s="8"/>
      <c r="G1633" s="9"/>
      <c r="H1633" s="9"/>
      <c r="I1633" s="27"/>
      <c r="J1633" s="28"/>
      <c r="K1633" s="39"/>
      <c r="L1633" s="17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</row>
    <row r="1634" spans="1:28" ht="12" customHeight="1">
      <c r="L1634" s="17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customFormat="1" ht="12" customHeight="1">
      <c r="A1635" s="4"/>
      <c r="B1635" s="6"/>
      <c r="C1635" s="4"/>
      <c r="D1635" s="6"/>
      <c r="E1635" s="7"/>
      <c r="F1635" s="8"/>
      <c r="G1635" s="9"/>
      <c r="H1635" s="9"/>
      <c r="I1635" s="27"/>
      <c r="J1635" s="28"/>
      <c r="K1635" s="39"/>
      <c r="L1635" s="17"/>
    </row>
    <row r="1636" spans="1:28" ht="12" customHeight="1">
      <c r="L1636" s="17"/>
    </row>
    <row r="1637" spans="1:28" ht="12" customHeight="1">
      <c r="L1637" s="17"/>
    </row>
    <row r="1638" spans="1:28" ht="12" customHeight="1">
      <c r="L1638" s="17"/>
    </row>
    <row r="1639" spans="1:28" ht="12" customHeight="1">
      <c r="L1639" s="16"/>
    </row>
    <row r="1640" spans="1:28" ht="12" customHeight="1">
      <c r="L1640" s="16"/>
    </row>
    <row r="1641" spans="1:28" ht="12" customHeight="1">
      <c r="L1641" s="16"/>
    </row>
    <row r="1642" spans="1:28" customFormat="1" ht="12" customHeight="1">
      <c r="A1642" s="4"/>
      <c r="B1642" s="6"/>
      <c r="C1642" s="4"/>
      <c r="D1642" s="6"/>
      <c r="E1642" s="7"/>
      <c r="F1642" s="8"/>
      <c r="G1642" s="9"/>
      <c r="H1642" s="9"/>
      <c r="I1642" s="27"/>
      <c r="J1642" s="28"/>
      <c r="K1642" s="39"/>
      <c r="L1642" s="16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</row>
    <row r="1643" spans="1:28" ht="12" customHeight="1">
      <c r="L1643" s="17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customFormat="1" ht="12" customHeight="1">
      <c r="A1644" s="4"/>
      <c r="B1644" s="6"/>
      <c r="C1644" s="4"/>
      <c r="D1644" s="6"/>
      <c r="E1644" s="7"/>
      <c r="F1644" s="8"/>
      <c r="G1644" s="9"/>
      <c r="H1644" s="9"/>
      <c r="I1644" s="27"/>
      <c r="J1644" s="28"/>
      <c r="K1644" s="39"/>
      <c r="L1644" s="17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</row>
    <row r="1645" spans="1:28" ht="12" customHeight="1">
      <c r="L1645" s="17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:28" ht="12" customHeight="1">
      <c r="L1646" s="17"/>
    </row>
    <row r="1647" spans="1:28" ht="12" customHeight="1">
      <c r="L1647" s="17"/>
    </row>
    <row r="1648" spans="1:28" ht="12" customHeight="1">
      <c r="L1648" s="17"/>
    </row>
    <row r="1649" spans="1:28" ht="12" customHeight="1">
      <c r="L1649" s="17"/>
    </row>
    <row r="1650" spans="1:28" ht="12.75" customHeight="1">
      <c r="L1650" s="17"/>
    </row>
    <row r="1651" spans="1:28" ht="12" customHeight="1">
      <c r="L1651" s="17"/>
    </row>
    <row r="1652" spans="1:28" ht="12" customHeight="1">
      <c r="L1652" s="17"/>
    </row>
    <row r="1653" spans="1:28" s="2" customFormat="1" ht="12" customHeight="1">
      <c r="A1653" s="4"/>
      <c r="B1653" s="6"/>
      <c r="C1653" s="4"/>
      <c r="D1653" s="6"/>
      <c r="E1653" s="7"/>
      <c r="F1653" s="8"/>
      <c r="G1653" s="9"/>
      <c r="H1653" s="9"/>
      <c r="I1653" s="27"/>
      <c r="J1653" s="28"/>
      <c r="K1653" s="39"/>
      <c r="L1653" s="17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</row>
    <row r="1654" spans="1:28" ht="12" customHeight="1">
      <c r="L1654" s="17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1:28" ht="12" customHeight="1">
      <c r="L1655" s="17"/>
    </row>
    <row r="1656" spans="1:28" s="5" customFormat="1" ht="12" customHeight="1">
      <c r="A1656" s="4"/>
      <c r="B1656" s="6"/>
      <c r="C1656" s="4"/>
      <c r="D1656" s="6"/>
      <c r="E1656" s="7"/>
      <c r="F1656" s="8"/>
      <c r="G1656" s="9"/>
      <c r="H1656" s="9"/>
      <c r="I1656" s="27"/>
      <c r="J1656" s="28"/>
      <c r="K1656" s="39"/>
      <c r="L1656" s="16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</row>
    <row r="1657" spans="1:28" customFormat="1" ht="12" customHeight="1">
      <c r="A1657" s="4"/>
      <c r="B1657" s="6"/>
      <c r="C1657" s="4"/>
      <c r="D1657" s="6"/>
      <c r="E1657" s="7"/>
      <c r="F1657" s="8"/>
      <c r="G1657" s="9"/>
      <c r="H1657" s="9"/>
      <c r="I1657" s="27"/>
      <c r="J1657" s="28"/>
      <c r="K1657" s="39"/>
      <c r="L1657" s="16"/>
    </row>
    <row r="1658" spans="1:28" customFormat="1" ht="12" customHeight="1">
      <c r="A1658" s="2"/>
      <c r="B1658" s="6"/>
      <c r="C1658" s="4"/>
      <c r="D1658" s="6"/>
      <c r="E1658" s="7"/>
      <c r="F1658" s="8"/>
      <c r="G1658" s="9"/>
      <c r="H1658" s="9"/>
      <c r="I1658" s="27"/>
      <c r="J1658" s="28"/>
      <c r="K1658" s="39"/>
      <c r="L1658" s="16"/>
    </row>
    <row r="1659" spans="1:28" ht="14.25" customHeight="1">
      <c r="A1659" s="2"/>
      <c r="L1659" s="17"/>
    </row>
    <row r="1660" spans="1:28" ht="12" customHeight="1">
      <c r="L1660" s="17"/>
    </row>
    <row r="1661" spans="1:28" ht="12" customHeight="1">
      <c r="L1661" s="17"/>
    </row>
    <row r="1662" spans="1:28" ht="12" customHeight="1">
      <c r="A1662" s="5"/>
      <c r="L1662" s="17"/>
    </row>
    <row r="1663" spans="1:28" ht="12" customHeight="1">
      <c r="A1663" s="5"/>
      <c r="L1663" s="17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1:28" ht="12.75" customHeight="1">
      <c r="L1664" s="17"/>
    </row>
    <row r="1665" spans="1:29" ht="12" customHeight="1">
      <c r="L1665" s="17"/>
    </row>
    <row r="1666" spans="1:29" ht="12" customHeight="1">
      <c r="L1666" s="17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</row>
    <row r="1667" spans="1:29" ht="12" customHeight="1">
      <c r="L1667" s="17"/>
    </row>
    <row r="1668" spans="1:29" ht="12" customHeight="1">
      <c r="L1668" s="17"/>
    </row>
    <row r="1669" spans="1:29" ht="12" customHeight="1">
      <c r="L1669" s="17"/>
    </row>
    <row r="1670" spans="1:29" ht="13.5" customHeight="1">
      <c r="L1670" s="17"/>
    </row>
    <row r="1671" spans="1:29" ht="12" customHeight="1">
      <c r="L1671" s="17"/>
    </row>
    <row r="1672" spans="1:29" ht="12" customHeight="1">
      <c r="L1672" s="17"/>
    </row>
    <row r="1673" spans="1:29" ht="12" customHeight="1">
      <c r="A1673" s="5"/>
      <c r="L1673" s="17"/>
    </row>
    <row r="1674" spans="1:29" ht="12" customHeight="1">
      <c r="A1674" s="5"/>
      <c r="L1674" s="16"/>
    </row>
    <row r="1675" spans="1:29" ht="12" customHeight="1">
      <c r="A1675" s="5"/>
      <c r="L1675" s="16"/>
    </row>
    <row r="1676" spans="1:29" ht="12" customHeight="1">
      <c r="A1676" s="5"/>
      <c r="L1676" s="16"/>
    </row>
    <row r="1677" spans="1:29" ht="12" customHeight="1">
      <c r="L1677" s="16"/>
    </row>
    <row r="1678" spans="1:29" ht="12" customHeight="1">
      <c r="L1678" s="16"/>
    </row>
    <row r="1679" spans="1:29" ht="12" customHeight="1">
      <c r="L1679" s="16"/>
    </row>
    <row r="1680" spans="1:29" ht="13.5" customHeight="1">
      <c r="L1680" s="17"/>
    </row>
    <row r="1681" spans="1:29" ht="12" customHeight="1">
      <c r="L1681" s="17"/>
    </row>
    <row r="1682" spans="1:29" ht="12" customHeight="1">
      <c r="L1682" s="17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</row>
    <row r="1683" spans="1:29" ht="12" customHeight="1">
      <c r="L1683" s="17"/>
    </row>
    <row r="1684" spans="1:29" ht="12" customHeight="1">
      <c r="L1684" s="17"/>
    </row>
    <row r="1685" spans="1:29" ht="12" customHeight="1">
      <c r="L1685" s="17"/>
    </row>
    <row r="1686" spans="1:29" ht="12" customHeight="1">
      <c r="A1686" s="2"/>
      <c r="L1686" s="17"/>
    </row>
    <row r="1687" spans="1:29" ht="12" customHeight="1">
      <c r="L1687" s="17"/>
    </row>
    <row r="1688" spans="1:29" ht="12" customHeight="1">
      <c r="L1688" s="17"/>
    </row>
    <row r="1689" spans="1:29" ht="12" customHeight="1">
      <c r="L1689" s="17"/>
    </row>
    <row r="1690" spans="1:29" ht="15" customHeight="1">
      <c r="A1690" s="5"/>
      <c r="L1690" s="17"/>
    </row>
    <row r="1691" spans="1:29" ht="12" customHeight="1">
      <c r="A1691" s="5"/>
      <c r="L1691" s="17"/>
    </row>
    <row r="1692" spans="1:29" ht="12" customHeight="1">
      <c r="A1692" s="5"/>
      <c r="L1692" s="17"/>
    </row>
    <row r="1693" spans="1:29" ht="10.5" customHeight="1">
      <c r="L1693" s="17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</row>
    <row r="1694" spans="1:29" ht="12" customHeight="1">
      <c r="L1694" s="17"/>
    </row>
    <row r="1695" spans="1:29" s="5" customFormat="1" ht="12" customHeight="1">
      <c r="A1695" s="4"/>
      <c r="B1695" s="6"/>
      <c r="C1695" s="4"/>
      <c r="D1695" s="6"/>
      <c r="E1695" s="7"/>
      <c r="F1695" s="8"/>
      <c r="G1695" s="9"/>
      <c r="H1695" s="9"/>
      <c r="I1695" s="27"/>
      <c r="J1695" s="28"/>
      <c r="K1695" s="39"/>
      <c r="L1695" s="17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</row>
    <row r="1696" spans="1:29" s="5" customFormat="1" ht="12.75" customHeight="1">
      <c r="A1696" s="4"/>
      <c r="B1696" s="6"/>
      <c r="C1696" s="4"/>
      <c r="D1696" s="6"/>
      <c r="E1696" s="7"/>
      <c r="F1696" s="8"/>
      <c r="G1696" s="9"/>
      <c r="H1696" s="9"/>
      <c r="I1696" s="27"/>
      <c r="J1696" s="28"/>
      <c r="K1696" s="39"/>
      <c r="L1696" s="16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</row>
    <row r="1697" spans="1:12" customFormat="1" ht="12" customHeight="1">
      <c r="A1697" s="4"/>
      <c r="B1697" s="6"/>
      <c r="C1697" s="4"/>
      <c r="D1697" s="6"/>
      <c r="E1697" s="7"/>
      <c r="F1697" s="8"/>
      <c r="G1697" s="9"/>
      <c r="H1697" s="9"/>
      <c r="I1697" s="27"/>
      <c r="J1697" s="28"/>
      <c r="K1697" s="39"/>
      <c r="L1697" s="17"/>
    </row>
    <row r="1698" spans="1:12" customFormat="1" ht="12" customHeight="1">
      <c r="A1698" s="4"/>
      <c r="B1698" s="6"/>
      <c r="C1698" s="4"/>
      <c r="D1698" s="6"/>
      <c r="E1698" s="7"/>
      <c r="F1698" s="8"/>
      <c r="G1698" s="9"/>
      <c r="H1698" s="9"/>
      <c r="I1698" s="27"/>
      <c r="J1698" s="28"/>
      <c r="K1698" s="39"/>
      <c r="L1698" s="17"/>
    </row>
    <row r="1699" spans="1:12" ht="13.5" customHeight="1">
      <c r="L1699" s="17"/>
    </row>
    <row r="1700" spans="1:12" ht="12" customHeight="1">
      <c r="L1700" s="17"/>
    </row>
    <row r="1701" spans="1:12" ht="12" customHeight="1">
      <c r="L1701" s="17"/>
    </row>
    <row r="1702" spans="1:12" ht="14.25" customHeight="1">
      <c r="L1702" s="17"/>
    </row>
    <row r="1703" spans="1:12" ht="12" customHeight="1">
      <c r="L1703" s="17"/>
    </row>
    <row r="1704" spans="1:12" ht="12" customHeight="1">
      <c r="L1704" s="17"/>
    </row>
    <row r="1705" spans="1:12" ht="11.25" customHeight="1">
      <c r="L1705" s="17"/>
    </row>
    <row r="1706" spans="1:12" ht="12" customHeight="1">
      <c r="L1706" s="17"/>
    </row>
    <row r="1707" spans="1:12" customFormat="1" ht="12" customHeight="1">
      <c r="A1707" s="4"/>
      <c r="B1707" s="6"/>
      <c r="C1707" s="4"/>
      <c r="D1707" s="6"/>
      <c r="E1707" s="7"/>
      <c r="F1707" s="8"/>
      <c r="G1707" s="9"/>
      <c r="H1707" s="9"/>
      <c r="I1707" s="27"/>
      <c r="J1707" s="28"/>
      <c r="K1707" s="39"/>
      <c r="L1707" s="17"/>
    </row>
    <row r="1708" spans="1:12" ht="12" customHeight="1">
      <c r="A1708" s="5"/>
      <c r="L1708" s="17"/>
    </row>
    <row r="1709" spans="1:12" ht="12" customHeight="1">
      <c r="A1709" s="5"/>
      <c r="L1709" s="17"/>
    </row>
    <row r="1710" spans="1:12" ht="12" customHeight="1">
      <c r="A1710" s="5"/>
      <c r="L1710" s="17"/>
    </row>
    <row r="1711" spans="1:12" ht="14.25" customHeight="1">
      <c r="A1711" s="5"/>
      <c r="L1711" s="17"/>
    </row>
    <row r="1712" spans="1:12" ht="12" customHeight="1">
      <c r="A1712" s="5"/>
      <c r="L1712" s="17"/>
    </row>
    <row r="1713" spans="1:12" customFormat="1" ht="12" customHeight="1">
      <c r="A1713" s="5"/>
      <c r="B1713" s="6"/>
      <c r="C1713" s="4"/>
      <c r="D1713" s="6"/>
      <c r="E1713" s="7"/>
      <c r="F1713" s="8"/>
      <c r="G1713" s="9"/>
      <c r="H1713" s="9"/>
      <c r="I1713" s="27"/>
      <c r="J1713" s="28"/>
      <c r="K1713" s="39"/>
      <c r="L1713" s="17"/>
    </row>
    <row r="1714" spans="1:12" ht="12" customHeight="1">
      <c r="L1714" s="17"/>
    </row>
    <row r="1715" spans="1:12" ht="12" customHeight="1">
      <c r="L1715" s="17"/>
    </row>
    <row r="1716" spans="1:12" ht="12" customHeight="1">
      <c r="L1716" s="17"/>
    </row>
    <row r="1717" spans="1:12" ht="12" customHeight="1">
      <c r="L1717" s="17"/>
    </row>
    <row r="1718" spans="1:12" ht="12" customHeight="1">
      <c r="L1718" s="17"/>
    </row>
    <row r="1719" spans="1:12" ht="12" customHeight="1">
      <c r="L1719" s="17"/>
    </row>
    <row r="1720" spans="1:12" ht="12" customHeight="1">
      <c r="L1720" s="16"/>
    </row>
    <row r="1721" spans="1:12" ht="12" customHeight="1">
      <c r="L1721" s="16"/>
    </row>
    <row r="1722" spans="1:12" customFormat="1" ht="12" customHeight="1">
      <c r="A1722" s="4"/>
      <c r="B1722" s="6"/>
      <c r="C1722" s="4"/>
      <c r="D1722" s="6"/>
      <c r="E1722" s="7"/>
      <c r="F1722" s="8"/>
      <c r="G1722" s="9"/>
      <c r="H1722" s="9"/>
      <c r="I1722" s="27"/>
      <c r="J1722" s="28"/>
      <c r="K1722" s="39"/>
      <c r="L1722" s="17"/>
    </row>
    <row r="1723" spans="1:12" customFormat="1" ht="12" customHeight="1">
      <c r="A1723" s="4"/>
      <c r="B1723" s="6"/>
      <c r="C1723" s="4"/>
      <c r="D1723" s="6"/>
      <c r="E1723" s="7"/>
      <c r="F1723" s="8"/>
      <c r="G1723" s="9"/>
      <c r="H1723" s="9"/>
      <c r="I1723" s="27"/>
      <c r="J1723" s="28"/>
      <c r="K1723" s="39"/>
      <c r="L1723" s="17"/>
    </row>
    <row r="1724" spans="1:12" ht="11.25" customHeight="1">
      <c r="L1724" s="17"/>
    </row>
    <row r="1725" spans="1:12" ht="12" customHeight="1">
      <c r="A1725" s="2"/>
      <c r="L1725" s="17"/>
    </row>
    <row r="1726" spans="1:12" ht="12" customHeight="1">
      <c r="A1726" s="13"/>
      <c r="L1726" s="17"/>
    </row>
    <row r="1727" spans="1:12" ht="12" customHeight="1">
      <c r="L1727" s="17"/>
    </row>
    <row r="1728" spans="1:12" ht="15" customHeight="1">
      <c r="L1728" s="17"/>
    </row>
    <row r="1729" spans="1:29" customFormat="1" ht="10.5" customHeight="1">
      <c r="A1729" s="4"/>
      <c r="B1729" s="6"/>
      <c r="C1729" s="4"/>
      <c r="D1729" s="6"/>
      <c r="E1729" s="7"/>
      <c r="F1729" s="8"/>
      <c r="G1729" s="9"/>
      <c r="H1729" s="9"/>
      <c r="I1729" s="27"/>
      <c r="J1729" s="28"/>
      <c r="K1729" s="39"/>
      <c r="L1729" s="17"/>
    </row>
    <row r="1730" spans="1:29" s="2" customFormat="1" ht="12" customHeight="1">
      <c r="A1730" s="5"/>
      <c r="B1730" s="6"/>
      <c r="C1730" s="4"/>
      <c r="D1730" s="6"/>
      <c r="E1730" s="7"/>
      <c r="F1730" s="8"/>
      <c r="G1730" s="9"/>
      <c r="H1730" s="9"/>
      <c r="I1730" s="27"/>
      <c r="J1730" s="28"/>
      <c r="K1730" s="39"/>
      <c r="L1730" s="17"/>
    </row>
    <row r="1731" spans="1:29" s="2" customFormat="1" ht="12" customHeight="1">
      <c r="A1731" s="4"/>
      <c r="B1731" s="6"/>
      <c r="C1731" s="4"/>
      <c r="D1731" s="6"/>
      <c r="E1731" s="7"/>
      <c r="F1731" s="8"/>
      <c r="G1731" s="9"/>
      <c r="H1731" s="9"/>
      <c r="I1731" s="27"/>
      <c r="J1731" s="28"/>
      <c r="K1731" s="39"/>
      <c r="L1731" s="17"/>
    </row>
    <row r="1732" spans="1:29" customFormat="1" ht="12" customHeight="1">
      <c r="A1732" s="4"/>
      <c r="B1732" s="6"/>
      <c r="C1732" s="4"/>
      <c r="D1732" s="6"/>
      <c r="E1732" s="7"/>
      <c r="F1732" s="8"/>
      <c r="G1732" s="9"/>
      <c r="H1732" s="9"/>
      <c r="I1732" s="27"/>
      <c r="J1732" s="28"/>
      <c r="K1732" s="39"/>
      <c r="L1732" s="17"/>
    </row>
    <row r="1733" spans="1:29" ht="12" customHeight="1">
      <c r="L1733" s="17"/>
    </row>
    <row r="1734" spans="1:29" s="5" customFormat="1" ht="12" customHeight="1">
      <c r="A1734" s="4"/>
      <c r="B1734" s="6"/>
      <c r="C1734" s="4"/>
      <c r="D1734" s="6"/>
      <c r="E1734" s="7"/>
      <c r="F1734" s="8"/>
      <c r="G1734" s="9"/>
      <c r="H1734" s="9"/>
      <c r="I1734" s="27"/>
      <c r="J1734" s="28"/>
      <c r="K1734" s="39"/>
      <c r="L1734" s="17"/>
    </row>
    <row r="1735" spans="1:29" s="5" customFormat="1" ht="12" customHeight="1">
      <c r="A1735" s="4"/>
      <c r="B1735" s="6"/>
      <c r="C1735" s="4"/>
      <c r="D1735" s="6"/>
      <c r="E1735" s="7"/>
      <c r="F1735" s="8"/>
      <c r="G1735" s="9"/>
      <c r="H1735" s="9"/>
      <c r="I1735" s="27"/>
      <c r="J1735" s="28"/>
      <c r="K1735" s="39"/>
      <c r="L1735" s="16"/>
    </row>
    <row r="1736" spans="1:29" ht="11.25" customHeight="1">
      <c r="L1736" s="17"/>
    </row>
    <row r="1737" spans="1:29" ht="12" customHeight="1">
      <c r="L1737" s="17"/>
    </row>
    <row r="1738" spans="1:29" ht="12" customHeight="1">
      <c r="L1738" s="17"/>
    </row>
    <row r="1739" spans="1:29" ht="13.5" customHeight="1">
      <c r="L1739" s="17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</row>
    <row r="1740" spans="1:29" ht="12" customHeight="1">
      <c r="L1740" s="16"/>
    </row>
    <row r="1741" spans="1:29" ht="12" customHeight="1">
      <c r="L1741" s="17"/>
    </row>
    <row r="1742" spans="1:29" ht="12" customHeight="1">
      <c r="L1742" s="17"/>
    </row>
    <row r="1743" spans="1:29" ht="12" customHeight="1">
      <c r="L1743" s="17"/>
    </row>
    <row r="1744" spans="1:29" ht="12" customHeight="1">
      <c r="L1744" s="17"/>
    </row>
    <row r="1745" spans="1:29" s="5" customFormat="1" ht="12" customHeight="1">
      <c r="A1745" s="4"/>
      <c r="B1745" s="6"/>
      <c r="C1745" s="4"/>
      <c r="D1745" s="6"/>
      <c r="E1745" s="7"/>
      <c r="F1745" s="8"/>
      <c r="G1745" s="9"/>
      <c r="H1745" s="9"/>
      <c r="I1745" s="27"/>
      <c r="J1745" s="28"/>
      <c r="K1745" s="39"/>
      <c r="L1745" s="17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</row>
    <row r="1746" spans="1:29" s="5" customFormat="1" ht="12" customHeight="1">
      <c r="A1746" s="4"/>
      <c r="B1746" s="6"/>
      <c r="C1746" s="4"/>
      <c r="D1746" s="6"/>
      <c r="E1746" s="7"/>
      <c r="F1746" s="8"/>
      <c r="G1746" s="9"/>
      <c r="H1746" s="9"/>
      <c r="I1746" s="27"/>
      <c r="J1746" s="28"/>
      <c r="K1746" s="39"/>
      <c r="L1746" s="17"/>
    </row>
    <row r="1747" spans="1:29" s="5" customFormat="1" ht="12" customHeight="1">
      <c r="A1747" s="4"/>
      <c r="B1747" s="6"/>
      <c r="C1747" s="4"/>
      <c r="D1747" s="6"/>
      <c r="E1747" s="7"/>
      <c r="F1747" s="8"/>
      <c r="G1747" s="9"/>
      <c r="H1747" s="9"/>
      <c r="I1747" s="27"/>
      <c r="J1747" s="28"/>
      <c r="K1747" s="39"/>
      <c r="L1747" s="17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</row>
    <row r="1748" spans="1:29" s="5" customFormat="1" ht="12" customHeight="1">
      <c r="A1748" s="4"/>
      <c r="B1748" s="6"/>
      <c r="C1748" s="4"/>
      <c r="D1748" s="6"/>
      <c r="E1748" s="7"/>
      <c r="F1748" s="8"/>
      <c r="G1748" s="9"/>
      <c r="H1748" s="9"/>
      <c r="I1748" s="27"/>
      <c r="J1748" s="28"/>
      <c r="K1748" s="39"/>
      <c r="L1748" s="17"/>
    </row>
    <row r="1749" spans="1:29" ht="12" customHeight="1">
      <c r="A1749" s="2"/>
      <c r="L1749" s="17"/>
    </row>
    <row r="1750" spans="1:29" ht="12" customHeight="1">
      <c r="A1750" s="2"/>
      <c r="L1750" s="17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</row>
    <row r="1751" spans="1:29" ht="12" customHeight="1">
      <c r="L1751" s="17"/>
    </row>
    <row r="1752" spans="1:29" customFormat="1" ht="12" customHeight="1">
      <c r="A1752" s="4"/>
      <c r="B1752" s="6"/>
      <c r="C1752" s="4"/>
      <c r="D1752" s="6"/>
      <c r="E1752" s="7"/>
      <c r="F1752" s="8"/>
      <c r="G1752" s="9"/>
      <c r="H1752" s="9"/>
      <c r="I1752" s="27"/>
      <c r="J1752" s="28"/>
      <c r="K1752" s="39"/>
      <c r="L1752" s="17"/>
    </row>
    <row r="1753" spans="1:29" customFormat="1" ht="12" customHeight="1">
      <c r="A1753" s="4"/>
      <c r="B1753" s="6"/>
      <c r="C1753" s="4"/>
      <c r="D1753" s="6"/>
      <c r="E1753" s="7"/>
      <c r="F1753" s="8"/>
      <c r="G1753" s="9"/>
      <c r="H1753" s="9"/>
      <c r="I1753" s="27"/>
      <c r="J1753" s="28"/>
      <c r="K1753" s="39"/>
      <c r="L1753" s="17"/>
    </row>
    <row r="1754" spans="1:29" ht="12" customHeight="1">
      <c r="A1754" s="5"/>
      <c r="L1754" s="17"/>
    </row>
    <row r="1755" spans="1:29" ht="12" customHeight="1">
      <c r="A1755" s="5"/>
      <c r="L1755" s="17"/>
    </row>
    <row r="1756" spans="1:29" ht="12" customHeight="1">
      <c r="A1756" s="2"/>
      <c r="L1756" s="17"/>
    </row>
    <row r="1757" spans="1:29" customFormat="1" ht="12" customHeight="1">
      <c r="A1757" s="2"/>
      <c r="B1757" s="6"/>
      <c r="C1757" s="4"/>
      <c r="D1757" s="6"/>
      <c r="E1757" s="7"/>
      <c r="F1757" s="8"/>
      <c r="G1757" s="9"/>
      <c r="H1757" s="9"/>
      <c r="I1757" s="27"/>
      <c r="J1757" s="28"/>
      <c r="K1757" s="39"/>
      <c r="L1757" s="17"/>
    </row>
    <row r="1758" spans="1:29" s="2" customFormat="1" ht="12" customHeight="1">
      <c r="B1758" s="6"/>
      <c r="C1758" s="4"/>
      <c r="D1758" s="6"/>
      <c r="E1758" s="7"/>
      <c r="F1758" s="8"/>
      <c r="G1758" s="9"/>
      <c r="H1758" s="9"/>
      <c r="I1758" s="27"/>
      <c r="J1758" s="28"/>
      <c r="K1758" s="39"/>
      <c r="L1758" s="17"/>
    </row>
    <row r="1759" spans="1:29" ht="12.75" customHeight="1">
      <c r="A1759" s="2"/>
      <c r="L1759" s="17"/>
    </row>
    <row r="1760" spans="1:29" ht="12.75" customHeight="1">
      <c r="A1760" s="2"/>
      <c r="L1760" s="17"/>
    </row>
    <row r="1761" spans="1:29" ht="12" customHeight="1">
      <c r="A1761" s="2"/>
      <c r="L1761" s="16"/>
    </row>
    <row r="1762" spans="1:29" s="5" customFormat="1" ht="12" hidden="1" customHeight="1">
      <c r="A1762" s="2"/>
      <c r="B1762" s="6"/>
      <c r="C1762" s="4"/>
      <c r="D1762" s="6"/>
      <c r="E1762" s="7"/>
      <c r="F1762" s="8"/>
      <c r="G1762" s="9"/>
      <c r="H1762" s="9"/>
      <c r="I1762" s="27"/>
      <c r="J1762" s="28"/>
      <c r="K1762" s="39"/>
      <c r="L1762" s="17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</row>
    <row r="1763" spans="1:29" s="5" customFormat="1" ht="12" hidden="1" customHeight="1">
      <c r="A1763" s="2"/>
      <c r="B1763" s="6"/>
      <c r="C1763" s="4"/>
      <c r="D1763" s="6"/>
      <c r="E1763" s="7"/>
      <c r="F1763" s="8"/>
      <c r="G1763" s="9"/>
      <c r="H1763" s="9"/>
      <c r="I1763" s="27"/>
      <c r="J1763" s="28"/>
      <c r="K1763" s="39"/>
      <c r="L1763" s="17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</row>
    <row r="1764" spans="1:29" s="5" customFormat="1" ht="9.75" hidden="1" customHeight="1">
      <c r="A1764" s="4"/>
      <c r="B1764" s="6"/>
      <c r="C1764" s="4"/>
      <c r="D1764" s="6"/>
      <c r="E1764" s="7"/>
      <c r="F1764" s="8"/>
      <c r="G1764" s="9"/>
      <c r="H1764" s="9"/>
      <c r="I1764" s="27"/>
      <c r="J1764" s="28"/>
      <c r="K1764" s="39"/>
      <c r="L1764" s="17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</row>
    <row r="1765" spans="1:29" ht="12" hidden="1" customHeight="1">
      <c r="L1765" s="17"/>
    </row>
    <row r="1766" spans="1:29" ht="12" hidden="1" customHeight="1">
      <c r="L1766" s="17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</row>
    <row r="1767" spans="1:29" ht="12" hidden="1" customHeight="1">
      <c r="A1767" s="2"/>
      <c r="L1767" s="17"/>
    </row>
    <row r="1768" spans="1:29" ht="12" hidden="1" customHeight="1">
      <c r="A1768" s="2"/>
      <c r="L1768" s="17"/>
    </row>
    <row r="1769" spans="1:29" ht="12" hidden="1" customHeight="1">
      <c r="A1769" s="5"/>
      <c r="L1769" s="17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</row>
    <row r="1770" spans="1:29" ht="12" hidden="1" customHeight="1">
      <c r="L1770" s="17"/>
    </row>
    <row r="1771" spans="1:29" ht="12" hidden="1" customHeight="1">
      <c r="L1771" s="17"/>
    </row>
    <row r="1772" spans="1:29" ht="1.5" hidden="1" customHeight="1">
      <c r="A1772" s="2"/>
      <c r="L1772" s="17"/>
    </row>
    <row r="1773" spans="1:29" ht="11.25" hidden="1" customHeight="1">
      <c r="A1773" s="2"/>
      <c r="L1773" s="17"/>
    </row>
    <row r="1774" spans="1:29" ht="12" hidden="1" customHeight="1">
      <c r="A1774" s="5"/>
      <c r="L1774" s="17"/>
    </row>
    <row r="1775" spans="1:29" ht="12" hidden="1" customHeight="1">
      <c r="L1775" s="17"/>
    </row>
    <row r="1776" spans="1:29" ht="12" hidden="1" customHeight="1">
      <c r="L1776" s="17"/>
    </row>
    <row r="1777" spans="1:29" ht="11.25" hidden="1" customHeight="1">
      <c r="L1777" s="17"/>
    </row>
    <row r="1778" spans="1:29" ht="12" hidden="1" customHeight="1">
      <c r="A1778" s="2"/>
      <c r="L1778" s="17"/>
    </row>
    <row r="1779" spans="1:29" ht="12.75" hidden="1" customHeight="1">
      <c r="A1779" s="2"/>
      <c r="L1779" s="17"/>
    </row>
    <row r="1780" spans="1:29" s="5" customFormat="1" ht="14.25" hidden="1" customHeight="1">
      <c r="A1780" s="4"/>
      <c r="B1780" s="6"/>
      <c r="C1780" s="4"/>
      <c r="D1780" s="6"/>
      <c r="E1780" s="7"/>
      <c r="F1780" s="8"/>
      <c r="G1780" s="9"/>
      <c r="H1780" s="9"/>
      <c r="I1780" s="27"/>
      <c r="J1780" s="28"/>
      <c r="K1780" s="39"/>
      <c r="L1780" s="17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</row>
    <row r="1781" spans="1:29" s="5" customFormat="1" ht="12" hidden="1" customHeight="1">
      <c r="A1781" s="4"/>
      <c r="B1781" s="6"/>
      <c r="C1781" s="4"/>
      <c r="D1781" s="6"/>
      <c r="E1781" s="7"/>
      <c r="F1781" s="8"/>
      <c r="G1781" s="9"/>
      <c r="H1781" s="9"/>
      <c r="I1781" s="27"/>
      <c r="J1781" s="28"/>
      <c r="K1781" s="39"/>
      <c r="L1781" s="17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</row>
    <row r="1782" spans="1:29" s="5" customFormat="1" ht="12" hidden="1" customHeight="1">
      <c r="A1782" s="4"/>
      <c r="B1782" s="6"/>
      <c r="C1782" s="4"/>
      <c r="D1782" s="6"/>
      <c r="E1782" s="7"/>
      <c r="F1782" s="8"/>
      <c r="G1782" s="9"/>
      <c r="H1782" s="9"/>
      <c r="I1782" s="27"/>
      <c r="J1782" s="28"/>
      <c r="K1782" s="39"/>
      <c r="L1782" s="17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</row>
    <row r="1783" spans="1:29" s="5" customFormat="1" ht="12" hidden="1" customHeight="1">
      <c r="A1783" s="2"/>
      <c r="B1783" s="6"/>
      <c r="C1783" s="4"/>
      <c r="D1783" s="6"/>
      <c r="E1783" s="7"/>
      <c r="F1783" s="8"/>
      <c r="G1783" s="9"/>
      <c r="H1783" s="9"/>
      <c r="I1783" s="27"/>
      <c r="J1783" s="28"/>
      <c r="K1783" s="39"/>
      <c r="L1783" s="17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</row>
    <row r="1784" spans="1:29" s="5" customFormat="1" ht="12" hidden="1" customHeight="1">
      <c r="A1784" s="2"/>
      <c r="B1784" s="6"/>
      <c r="C1784" s="4"/>
      <c r="D1784" s="6"/>
      <c r="E1784" s="7"/>
      <c r="F1784" s="8"/>
      <c r="G1784" s="9"/>
      <c r="H1784" s="9"/>
      <c r="I1784" s="27"/>
      <c r="J1784" s="28"/>
      <c r="K1784" s="39"/>
      <c r="L1784" s="17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</row>
    <row r="1785" spans="1:29" s="5" customFormat="1" ht="12" hidden="1" customHeight="1">
      <c r="A1785" s="4"/>
      <c r="B1785" s="6"/>
      <c r="C1785" s="4"/>
      <c r="D1785" s="6"/>
      <c r="E1785" s="7"/>
      <c r="F1785" s="8"/>
      <c r="G1785" s="9"/>
      <c r="H1785" s="9"/>
      <c r="I1785" s="27"/>
      <c r="J1785" s="28"/>
      <c r="K1785" s="39"/>
      <c r="L1785" s="17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</row>
    <row r="1786" spans="1:29" ht="12" hidden="1" customHeight="1">
      <c r="L1786" s="17"/>
    </row>
    <row r="1787" spans="1:29" customFormat="1" ht="12" hidden="1" customHeight="1">
      <c r="A1787" s="4"/>
      <c r="B1787" s="6"/>
      <c r="C1787" s="4"/>
      <c r="D1787" s="6"/>
      <c r="E1787" s="7"/>
      <c r="F1787" s="8"/>
      <c r="G1787" s="9"/>
      <c r="H1787" s="9"/>
      <c r="I1787" s="27"/>
      <c r="J1787" s="28"/>
      <c r="K1787" s="39"/>
      <c r="L1787" s="17"/>
    </row>
    <row r="1788" spans="1:29" customFormat="1" ht="12" hidden="1" customHeight="1">
      <c r="A1788" s="4"/>
      <c r="B1788" s="6"/>
      <c r="C1788" s="4"/>
      <c r="D1788" s="6"/>
      <c r="E1788" s="7"/>
      <c r="F1788" s="8"/>
      <c r="G1788" s="9"/>
      <c r="H1788" s="9"/>
      <c r="I1788" s="27"/>
      <c r="J1788" s="28"/>
      <c r="K1788" s="39"/>
      <c r="L1788" s="17"/>
    </row>
    <row r="1789" spans="1:29" ht="12" hidden="1" customHeight="1">
      <c r="L1789" s="17"/>
    </row>
    <row r="1790" spans="1:29" ht="14.25" hidden="1" customHeight="1">
      <c r="L1790" s="17"/>
    </row>
    <row r="1791" spans="1:29" ht="12" hidden="1" customHeight="1">
      <c r="L1791" s="17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</row>
    <row r="1792" spans="1:29" ht="12" hidden="1" customHeight="1" thickBot="1">
      <c r="L1792" s="17"/>
    </row>
    <row r="1793" spans="1:29" ht="12" hidden="1" customHeight="1">
      <c r="L1793" s="17"/>
    </row>
    <row r="1794" spans="1:29" ht="12" customHeight="1">
      <c r="L1794" s="17"/>
    </row>
    <row r="1795" spans="1:29" ht="12" customHeight="1">
      <c r="A1795" s="5"/>
      <c r="L1795" s="17"/>
    </row>
    <row r="1796" spans="1:29" ht="12" customHeight="1">
      <c r="A1796" s="2"/>
      <c r="L1796" s="17"/>
    </row>
    <row r="1797" spans="1:29" s="2" customFormat="1" ht="12" customHeight="1">
      <c r="B1797" s="6"/>
      <c r="C1797" s="4"/>
      <c r="D1797" s="6"/>
      <c r="E1797" s="7"/>
      <c r="F1797" s="8"/>
      <c r="G1797" s="9"/>
      <c r="H1797" s="9"/>
      <c r="I1797" s="27"/>
      <c r="J1797" s="28"/>
      <c r="K1797" s="39"/>
      <c r="L1797" s="17"/>
    </row>
    <row r="1798" spans="1:29" s="13" customFormat="1" ht="12" customHeight="1">
      <c r="A1798" s="2"/>
      <c r="B1798" s="6"/>
      <c r="C1798" s="4"/>
      <c r="D1798" s="6"/>
      <c r="E1798" s="7"/>
      <c r="F1798" s="8"/>
      <c r="G1798" s="9"/>
      <c r="H1798" s="9"/>
      <c r="I1798" s="27"/>
      <c r="J1798" s="28"/>
      <c r="K1798" s="39"/>
      <c r="L1798" s="17"/>
    </row>
    <row r="1799" spans="1:29" ht="12" customHeight="1">
      <c r="A1799" s="2"/>
      <c r="L1799" s="17"/>
    </row>
    <row r="1800" spans="1:29" ht="12" customHeight="1">
      <c r="A1800" s="2"/>
      <c r="L1800" s="17"/>
    </row>
    <row r="1801" spans="1:29" ht="12" customHeight="1">
      <c r="A1801" s="2"/>
      <c r="L1801" s="17"/>
    </row>
    <row r="1802" spans="1:29" s="5" customFormat="1" ht="12" customHeight="1">
      <c r="A1802" s="4"/>
      <c r="B1802" s="6"/>
      <c r="C1802" s="4"/>
      <c r="D1802" s="6"/>
      <c r="E1802" s="7"/>
      <c r="F1802" s="8"/>
      <c r="G1802" s="9"/>
      <c r="H1802" s="9"/>
      <c r="I1802" s="27"/>
      <c r="J1802" s="28"/>
      <c r="K1802" s="39"/>
      <c r="L1802" s="17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</row>
    <row r="1803" spans="1:29" ht="11.25" customHeight="1">
      <c r="L1803" s="17"/>
    </row>
    <row r="1804" spans="1:29" ht="12" customHeight="1">
      <c r="A1804" s="2"/>
      <c r="L1804" s="17"/>
    </row>
    <row r="1805" spans="1:29" ht="12" customHeight="1">
      <c r="A1805" s="2"/>
      <c r="L1805" s="17"/>
    </row>
    <row r="1806" spans="1:29" ht="12" customHeight="1">
      <c r="A1806" s="2"/>
      <c r="L1806" s="17"/>
    </row>
    <row r="1807" spans="1:29" customFormat="1" ht="12" customHeight="1">
      <c r="A1807" s="2"/>
      <c r="B1807" s="6"/>
      <c r="C1807" s="4"/>
      <c r="D1807" s="6"/>
      <c r="E1807" s="7"/>
      <c r="F1807" s="8"/>
      <c r="G1807" s="9"/>
      <c r="H1807" s="9"/>
      <c r="I1807" s="27"/>
      <c r="J1807" s="28"/>
      <c r="K1807" s="39"/>
      <c r="L1807" s="17"/>
    </row>
    <row r="1808" spans="1:29" customFormat="1" ht="10.5" customHeight="1">
      <c r="A1808" s="2"/>
      <c r="B1808" s="6"/>
      <c r="C1808" s="4"/>
      <c r="D1808" s="6"/>
      <c r="E1808" s="7"/>
      <c r="F1808" s="8"/>
      <c r="G1808" s="9"/>
      <c r="H1808" s="9"/>
      <c r="I1808" s="27"/>
      <c r="J1808" s="28"/>
      <c r="K1808" s="39"/>
      <c r="L1808" s="17"/>
    </row>
    <row r="1809" spans="1:29" customFormat="1" ht="12" customHeight="1">
      <c r="A1809" s="2"/>
      <c r="B1809" s="6"/>
      <c r="C1809" s="4"/>
      <c r="D1809" s="6"/>
      <c r="E1809" s="7"/>
      <c r="F1809" s="8"/>
      <c r="G1809" s="9"/>
      <c r="H1809" s="9"/>
      <c r="I1809" s="27"/>
      <c r="J1809" s="28"/>
      <c r="K1809" s="39"/>
      <c r="L1809" s="17"/>
    </row>
    <row r="1810" spans="1:29" ht="12.75" customHeight="1">
      <c r="L1810" s="17"/>
    </row>
    <row r="1811" spans="1:29" ht="14.25" customHeight="1">
      <c r="L1811" s="17"/>
    </row>
    <row r="1812" spans="1:29" ht="12" customHeight="1">
      <c r="L1812" s="17"/>
    </row>
    <row r="1813" spans="1:29" customFormat="1" ht="12" customHeight="1">
      <c r="A1813" s="4"/>
      <c r="B1813" s="6"/>
      <c r="C1813" s="4"/>
      <c r="D1813" s="6"/>
      <c r="E1813" s="7"/>
      <c r="F1813" s="8"/>
      <c r="G1813" s="9"/>
      <c r="H1813" s="9"/>
      <c r="I1813" s="27"/>
      <c r="J1813" s="28"/>
      <c r="K1813" s="39"/>
      <c r="L1813" s="17"/>
    </row>
    <row r="1814" spans="1:29" customFormat="1" ht="14.25" customHeight="1">
      <c r="A1814" s="4"/>
      <c r="B1814" s="6"/>
      <c r="C1814" s="4"/>
      <c r="D1814" s="6"/>
      <c r="E1814" s="7"/>
      <c r="F1814" s="8"/>
      <c r="G1814" s="9"/>
      <c r="H1814" s="9"/>
      <c r="I1814" s="27"/>
      <c r="J1814" s="28"/>
      <c r="K1814" s="39"/>
      <c r="L1814" s="17"/>
    </row>
    <row r="1815" spans="1:29" customFormat="1" ht="11.25" customHeight="1">
      <c r="A1815" s="4"/>
      <c r="B1815" s="6"/>
      <c r="C1815" s="4"/>
      <c r="D1815" s="6"/>
      <c r="E1815" s="7"/>
      <c r="F1815" s="8"/>
      <c r="G1815" s="9"/>
      <c r="H1815" s="9"/>
      <c r="I1815" s="27"/>
      <c r="J1815" s="28"/>
      <c r="K1815" s="39"/>
      <c r="L1815" s="17"/>
    </row>
    <row r="1816" spans="1:29" ht="14.25" customHeight="1">
      <c r="L1816" s="17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</row>
    <row r="1817" spans="1:29" customFormat="1" ht="15.75" customHeight="1">
      <c r="A1817" s="4"/>
      <c r="B1817" s="6"/>
      <c r="C1817" s="4"/>
      <c r="D1817" s="6"/>
      <c r="E1817" s="7"/>
      <c r="F1817" s="8"/>
      <c r="G1817" s="9"/>
      <c r="H1817" s="9"/>
      <c r="I1817" s="27"/>
      <c r="J1817" s="28"/>
      <c r="K1817" s="39"/>
      <c r="L1817" s="17"/>
    </row>
    <row r="1818" spans="1:29" ht="14.25" customHeight="1">
      <c r="L1818" s="17"/>
    </row>
    <row r="1819" spans="1:29" ht="12" customHeight="1">
      <c r="L1819" s="17"/>
    </row>
    <row r="1820" spans="1:29" customFormat="1" ht="12" customHeight="1">
      <c r="A1820" s="4"/>
      <c r="B1820" s="6"/>
      <c r="C1820" s="4"/>
      <c r="D1820" s="6"/>
      <c r="E1820" s="7"/>
      <c r="F1820" s="8"/>
      <c r="G1820" s="9"/>
      <c r="H1820" s="9"/>
      <c r="I1820" s="27"/>
      <c r="J1820" s="28"/>
      <c r="K1820" s="39"/>
      <c r="L1820" s="17"/>
    </row>
    <row r="1821" spans="1:29" s="2" customFormat="1" ht="12.75" customHeight="1">
      <c r="A1821" s="4"/>
      <c r="B1821" s="6"/>
      <c r="C1821" s="4"/>
      <c r="D1821" s="6"/>
      <c r="E1821" s="7"/>
      <c r="F1821" s="8"/>
      <c r="G1821" s="9"/>
      <c r="H1821" s="9"/>
      <c r="I1821" s="27"/>
      <c r="J1821" s="28"/>
      <c r="K1821" s="39"/>
      <c r="L1821" s="17"/>
    </row>
    <row r="1822" spans="1:29" s="2" customFormat="1" ht="12" customHeight="1">
      <c r="A1822" s="4"/>
      <c r="B1822" s="6"/>
      <c r="C1822" s="4"/>
      <c r="D1822" s="6"/>
      <c r="E1822" s="7"/>
      <c r="F1822" s="8"/>
      <c r="G1822" s="9"/>
      <c r="H1822" s="9"/>
      <c r="I1822" s="27"/>
      <c r="J1822" s="28"/>
      <c r="K1822" s="39"/>
      <c r="L1822" s="17"/>
    </row>
    <row r="1823" spans="1:29" ht="12" customHeight="1">
      <c r="L1823" s="17"/>
    </row>
    <row r="1824" spans="1:29" ht="12" customHeight="1">
      <c r="L1824" s="17"/>
    </row>
    <row r="1825" spans="1:29" ht="12" customHeight="1">
      <c r="L1825" s="17"/>
    </row>
    <row r="1826" spans="1:29" s="5" customFormat="1" ht="12.75" customHeight="1">
      <c r="A1826" s="4"/>
      <c r="B1826" s="6"/>
      <c r="C1826" s="4"/>
      <c r="D1826" s="6"/>
      <c r="E1826" s="7"/>
      <c r="F1826" s="8"/>
      <c r="G1826" s="9"/>
      <c r="H1826" s="9"/>
      <c r="I1826" s="27"/>
      <c r="J1826" s="28"/>
      <c r="K1826" s="39"/>
      <c r="L1826" s="17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</row>
    <row r="1827" spans="1:29" s="5" customFormat="1" ht="12" customHeight="1">
      <c r="A1827" s="4"/>
      <c r="B1827" s="6"/>
      <c r="C1827" s="4"/>
      <c r="D1827" s="6"/>
      <c r="E1827" s="7"/>
      <c r="F1827" s="8"/>
      <c r="G1827" s="9"/>
      <c r="H1827" s="9"/>
      <c r="I1827" s="27"/>
      <c r="J1827" s="28"/>
      <c r="K1827" s="39"/>
      <c r="L1827" s="17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</row>
    <row r="1828" spans="1:29" s="2" customFormat="1" ht="12" customHeight="1">
      <c r="A1828" s="4"/>
      <c r="B1828" s="6"/>
      <c r="C1828" s="4"/>
      <c r="D1828" s="6"/>
      <c r="E1828" s="7"/>
      <c r="F1828" s="8"/>
      <c r="G1828" s="9"/>
      <c r="H1828" s="9"/>
      <c r="I1828" s="27"/>
      <c r="J1828" s="28"/>
      <c r="K1828" s="39"/>
      <c r="L1828" s="17"/>
    </row>
    <row r="1829" spans="1:29" s="2" customFormat="1" ht="12" customHeight="1">
      <c r="A1829" s="4"/>
      <c r="B1829" s="6"/>
      <c r="C1829" s="4"/>
      <c r="D1829" s="6"/>
      <c r="E1829" s="7"/>
      <c r="F1829" s="8"/>
      <c r="G1829" s="9"/>
      <c r="H1829" s="9"/>
      <c r="I1829" s="27"/>
      <c r="J1829" s="28"/>
      <c r="K1829" s="39"/>
      <c r="L1829" s="17"/>
    </row>
    <row r="1830" spans="1:29" s="2" customFormat="1" ht="12" customHeight="1">
      <c r="A1830" s="4"/>
      <c r="B1830" s="6"/>
      <c r="C1830" s="4"/>
      <c r="D1830" s="6"/>
      <c r="E1830" s="7"/>
      <c r="F1830" s="8"/>
      <c r="G1830" s="9"/>
      <c r="H1830" s="9"/>
      <c r="I1830" s="27"/>
      <c r="J1830" s="28"/>
      <c r="K1830" s="39"/>
      <c r="L1830" s="17"/>
    </row>
    <row r="1831" spans="1:29" s="2" customFormat="1" ht="12" customHeight="1">
      <c r="A1831" s="4"/>
      <c r="B1831" s="6"/>
      <c r="C1831" s="4"/>
      <c r="D1831" s="6"/>
      <c r="E1831" s="7"/>
      <c r="F1831" s="8"/>
      <c r="G1831" s="9"/>
      <c r="H1831" s="9"/>
      <c r="I1831" s="27"/>
      <c r="J1831" s="28"/>
      <c r="K1831" s="39"/>
      <c r="L1831" s="17"/>
    </row>
    <row r="1832" spans="1:29" s="2" customFormat="1" ht="12" customHeight="1">
      <c r="A1832" s="4"/>
      <c r="B1832" s="6"/>
      <c r="C1832" s="4"/>
      <c r="D1832" s="6"/>
      <c r="E1832" s="7"/>
      <c r="F1832" s="8"/>
      <c r="G1832" s="9"/>
      <c r="H1832" s="9"/>
      <c r="I1832" s="27"/>
      <c r="J1832" s="28"/>
      <c r="K1832" s="39"/>
      <c r="L1832" s="17"/>
    </row>
    <row r="1833" spans="1:29" s="2" customFormat="1" ht="12" customHeight="1">
      <c r="A1833" s="4"/>
      <c r="B1833" s="6"/>
      <c r="C1833" s="4"/>
      <c r="D1833" s="6"/>
      <c r="E1833" s="7"/>
      <c r="F1833" s="8"/>
      <c r="G1833" s="9"/>
      <c r="H1833" s="9"/>
      <c r="I1833" s="27"/>
      <c r="J1833" s="28"/>
      <c r="K1833" s="39"/>
      <c r="L1833" s="17"/>
    </row>
    <row r="1834" spans="1:29" s="2" customFormat="1" ht="12" customHeight="1">
      <c r="A1834" s="4"/>
      <c r="B1834" s="6"/>
      <c r="C1834" s="4"/>
      <c r="D1834" s="6"/>
      <c r="E1834" s="7"/>
      <c r="F1834" s="8"/>
      <c r="G1834" s="9"/>
      <c r="H1834" s="9"/>
      <c r="I1834" s="27"/>
      <c r="J1834" s="28"/>
      <c r="K1834" s="39"/>
      <c r="L1834" s="17"/>
    </row>
    <row r="1835" spans="1:29" s="2" customFormat="1" ht="12" customHeight="1">
      <c r="A1835" s="4"/>
      <c r="B1835" s="6"/>
      <c r="C1835" s="4"/>
      <c r="D1835" s="6"/>
      <c r="E1835" s="7"/>
      <c r="F1835" s="8"/>
      <c r="G1835" s="9"/>
      <c r="H1835" s="9"/>
      <c r="I1835" s="27"/>
      <c r="J1835" s="28"/>
      <c r="K1835" s="39"/>
      <c r="L1835" s="17"/>
    </row>
    <row r="1836" spans="1:29" customFormat="1" ht="12" customHeight="1">
      <c r="A1836" s="4"/>
      <c r="B1836" s="6"/>
      <c r="C1836" s="4"/>
      <c r="D1836" s="6"/>
      <c r="E1836" s="7"/>
      <c r="F1836" s="8"/>
      <c r="G1836" s="9"/>
      <c r="H1836" s="9"/>
      <c r="I1836" s="27"/>
      <c r="J1836" s="28"/>
      <c r="K1836" s="39"/>
      <c r="L1836" s="17"/>
    </row>
    <row r="1837" spans="1:29" customFormat="1" ht="12" customHeight="1">
      <c r="A1837" s="4"/>
      <c r="B1837" s="6"/>
      <c r="C1837" s="4"/>
      <c r="D1837" s="6"/>
      <c r="E1837" s="7"/>
      <c r="F1837" s="8"/>
      <c r="G1837" s="9"/>
      <c r="H1837" s="9"/>
      <c r="I1837" s="27"/>
      <c r="J1837" s="28"/>
      <c r="K1837" s="39"/>
      <c r="L1837" s="17"/>
    </row>
    <row r="1838" spans="1:29" customFormat="1" ht="12" customHeight="1">
      <c r="A1838" s="4"/>
      <c r="B1838" s="6"/>
      <c r="C1838" s="4"/>
      <c r="D1838" s="6"/>
      <c r="E1838" s="7"/>
      <c r="F1838" s="8"/>
      <c r="G1838" s="9"/>
      <c r="H1838" s="9"/>
      <c r="I1838" s="27"/>
      <c r="J1838" s="28"/>
      <c r="K1838" s="39"/>
      <c r="L1838" s="17"/>
    </row>
    <row r="1839" spans="1:29" s="2" customFormat="1" ht="12" customHeight="1">
      <c r="A1839" s="4"/>
      <c r="B1839" s="6"/>
      <c r="C1839" s="4"/>
      <c r="D1839" s="6"/>
      <c r="E1839" s="7"/>
      <c r="F1839" s="8"/>
      <c r="G1839" s="9"/>
      <c r="H1839" s="9"/>
      <c r="I1839" s="27"/>
      <c r="J1839" s="28"/>
      <c r="K1839" s="39"/>
      <c r="L1839" s="17"/>
    </row>
    <row r="1840" spans="1:29" s="2" customFormat="1" ht="12" customHeight="1">
      <c r="A1840" s="4"/>
      <c r="B1840" s="6"/>
      <c r="C1840" s="4"/>
      <c r="D1840" s="6"/>
      <c r="E1840" s="7"/>
      <c r="F1840" s="8"/>
      <c r="G1840" s="9"/>
      <c r="H1840" s="9"/>
      <c r="I1840" s="27"/>
      <c r="J1840" s="28"/>
      <c r="K1840" s="39"/>
      <c r="L1840" s="17"/>
    </row>
    <row r="1841" spans="1:29" s="5" customFormat="1" ht="12" customHeight="1">
      <c r="A1841" s="4"/>
      <c r="B1841" s="6"/>
      <c r="C1841" s="4"/>
      <c r="D1841" s="6"/>
      <c r="E1841" s="7"/>
      <c r="F1841" s="8"/>
      <c r="G1841" s="9"/>
      <c r="H1841" s="9"/>
      <c r="I1841" s="27"/>
      <c r="J1841" s="28"/>
      <c r="K1841" s="39"/>
      <c r="L1841" s="17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</row>
    <row r="1842" spans="1:29" customFormat="1" ht="12.75" customHeight="1">
      <c r="A1842" s="4"/>
      <c r="B1842" s="6"/>
      <c r="C1842" s="4"/>
      <c r="D1842" s="6"/>
      <c r="E1842" s="7"/>
      <c r="F1842" s="8"/>
      <c r="G1842" s="9"/>
      <c r="H1842" s="9"/>
      <c r="I1842" s="27"/>
      <c r="J1842" s="28"/>
      <c r="K1842" s="39"/>
      <c r="L1842" s="17"/>
    </row>
    <row r="1843" spans="1:29" ht="12" customHeight="1">
      <c r="L1843" s="17"/>
    </row>
    <row r="1844" spans="1:29" s="2" customFormat="1" ht="12.75" customHeight="1">
      <c r="A1844" s="4"/>
      <c r="B1844" s="6"/>
      <c r="C1844" s="4"/>
      <c r="D1844" s="6"/>
      <c r="E1844" s="7"/>
      <c r="F1844" s="8"/>
      <c r="G1844" s="9"/>
      <c r="H1844" s="9"/>
      <c r="I1844" s="27"/>
      <c r="J1844" s="28"/>
      <c r="K1844" s="39"/>
      <c r="L1844" s="17"/>
    </row>
    <row r="1845" spans="1:29" s="2" customFormat="1" ht="10.5" customHeight="1">
      <c r="A1845" s="4"/>
      <c r="B1845" s="6"/>
      <c r="C1845" s="4"/>
      <c r="D1845" s="6"/>
      <c r="E1845" s="7"/>
      <c r="F1845" s="8"/>
      <c r="G1845" s="9"/>
      <c r="H1845" s="9"/>
      <c r="I1845" s="27"/>
      <c r="J1845" s="28"/>
      <c r="K1845" s="39"/>
      <c r="L1845" s="17"/>
    </row>
    <row r="1846" spans="1:29" s="5" customFormat="1" ht="12" customHeight="1">
      <c r="A1846" s="4"/>
      <c r="B1846" s="6"/>
      <c r="C1846" s="4"/>
      <c r="D1846" s="6"/>
      <c r="E1846" s="7"/>
      <c r="F1846" s="8"/>
      <c r="G1846" s="9"/>
      <c r="H1846" s="9"/>
      <c r="I1846" s="27"/>
      <c r="J1846" s="28"/>
      <c r="K1846" s="39"/>
      <c r="L1846" s="17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</row>
    <row r="1847" spans="1:29" customFormat="1" ht="14.25" customHeight="1">
      <c r="A1847" s="4"/>
      <c r="B1847" s="6"/>
      <c r="C1847" s="4"/>
      <c r="D1847" s="6"/>
      <c r="E1847" s="7"/>
      <c r="F1847" s="8"/>
      <c r="G1847" s="9"/>
      <c r="H1847" s="9"/>
      <c r="I1847" s="27"/>
      <c r="J1847" s="28"/>
      <c r="K1847" s="39"/>
      <c r="L1847" s="17"/>
    </row>
    <row r="1848" spans="1:29" ht="12" customHeight="1">
      <c r="L1848" s="17"/>
    </row>
    <row r="1849" spans="1:29" customFormat="1" ht="12" customHeight="1">
      <c r="A1849" s="4"/>
      <c r="B1849" s="6"/>
      <c r="C1849" s="4"/>
      <c r="D1849" s="6"/>
      <c r="E1849" s="7"/>
      <c r="F1849" s="8"/>
      <c r="G1849" s="9"/>
      <c r="H1849" s="9"/>
      <c r="I1849" s="27"/>
      <c r="J1849" s="28"/>
      <c r="K1849" s="39"/>
      <c r="L1849" s="17"/>
    </row>
    <row r="1850" spans="1:29" s="2" customFormat="1" ht="12" customHeight="1">
      <c r="A1850" s="4"/>
      <c r="B1850" s="6"/>
      <c r="C1850" s="4"/>
      <c r="D1850" s="6"/>
      <c r="E1850" s="7"/>
      <c r="F1850" s="8"/>
      <c r="G1850" s="9"/>
      <c r="H1850" s="9"/>
      <c r="I1850" s="27"/>
      <c r="J1850" s="28"/>
      <c r="K1850" s="39"/>
      <c r="L1850" s="17"/>
    </row>
    <row r="1851" spans="1:29" s="2" customFormat="1" ht="12" customHeight="1">
      <c r="A1851" s="4"/>
      <c r="B1851" s="6"/>
      <c r="C1851" s="4"/>
      <c r="D1851" s="6"/>
      <c r="E1851" s="7"/>
      <c r="F1851" s="8"/>
      <c r="G1851" s="9"/>
      <c r="H1851" s="9"/>
      <c r="I1851" s="27"/>
      <c r="J1851" s="28"/>
      <c r="K1851" s="39"/>
      <c r="L1851" s="17"/>
    </row>
    <row r="1852" spans="1:29" customFormat="1" ht="12" customHeight="1">
      <c r="A1852" s="4"/>
      <c r="B1852" s="6"/>
      <c r="C1852" s="4"/>
      <c r="D1852" s="6"/>
      <c r="E1852" s="7"/>
      <c r="F1852" s="8"/>
      <c r="G1852" s="9"/>
      <c r="H1852" s="9"/>
      <c r="I1852" s="27"/>
      <c r="J1852" s="28"/>
      <c r="K1852" s="39"/>
      <c r="L1852" s="17"/>
    </row>
    <row r="1853" spans="1:29" ht="12" customHeight="1">
      <c r="L1853" s="17"/>
    </row>
    <row r="1854" spans="1:29" ht="12" customHeight="1">
      <c r="L1854" s="17"/>
    </row>
    <row r="1855" spans="1:29" s="2" customFormat="1" ht="12" customHeight="1">
      <c r="A1855" s="4"/>
      <c r="B1855" s="6"/>
      <c r="C1855" s="4"/>
      <c r="D1855" s="6"/>
      <c r="E1855" s="7"/>
      <c r="F1855" s="8"/>
      <c r="G1855" s="9"/>
      <c r="H1855" s="9"/>
      <c r="I1855" s="27"/>
      <c r="J1855" s="28"/>
      <c r="K1855" s="39"/>
      <c r="L1855" s="17"/>
    </row>
    <row r="1856" spans="1:29" s="2" customFormat="1" ht="12" customHeight="1">
      <c r="A1856" s="4"/>
      <c r="B1856" s="6"/>
      <c r="C1856" s="4"/>
      <c r="D1856" s="6"/>
      <c r="E1856" s="7"/>
      <c r="F1856" s="8"/>
      <c r="G1856" s="9"/>
      <c r="H1856" s="9"/>
      <c r="I1856" s="27"/>
      <c r="J1856" s="28"/>
      <c r="K1856" s="39"/>
      <c r="L1856" s="17"/>
    </row>
    <row r="1857" spans="1:29" ht="12" customHeight="1">
      <c r="L1857" s="17"/>
    </row>
    <row r="1858" spans="1:29" ht="12" customHeight="1">
      <c r="L1858" s="17"/>
    </row>
    <row r="1859" spans="1:29" ht="12" customHeight="1">
      <c r="A1859" s="13"/>
      <c r="L1859" s="17"/>
    </row>
    <row r="1860" spans="1:29" ht="12" customHeight="1">
      <c r="L1860" s="17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</row>
    <row r="1861" spans="1:29" ht="12" customHeight="1">
      <c r="L1861" s="17"/>
    </row>
    <row r="1862" spans="1:29" ht="12" customHeight="1">
      <c r="L1862" s="17"/>
    </row>
    <row r="1863" spans="1:29" ht="12" customHeight="1">
      <c r="L1863" s="17"/>
    </row>
    <row r="1864" spans="1:29" ht="12" customHeight="1">
      <c r="L1864" s="17"/>
    </row>
    <row r="1865" spans="1:29" ht="12" customHeight="1">
      <c r="L1865" s="17"/>
    </row>
    <row r="1866" spans="1:29" customFormat="1" ht="12" customHeight="1">
      <c r="A1866" s="4"/>
      <c r="B1866" s="6"/>
      <c r="C1866" s="4"/>
      <c r="D1866" s="6"/>
      <c r="E1866" s="7"/>
      <c r="F1866" s="8"/>
      <c r="G1866" s="9"/>
      <c r="H1866" s="9"/>
      <c r="I1866" s="27"/>
      <c r="J1866" s="28"/>
      <c r="K1866" s="39"/>
      <c r="L1866" s="17"/>
    </row>
    <row r="1867" spans="1:29" s="5" customFormat="1" ht="12" customHeight="1">
      <c r="A1867" s="4"/>
      <c r="B1867" s="6"/>
      <c r="C1867" s="4"/>
      <c r="D1867" s="6"/>
      <c r="E1867" s="7"/>
      <c r="F1867" s="8"/>
      <c r="G1867" s="9"/>
      <c r="H1867" s="9"/>
      <c r="I1867" s="27"/>
      <c r="J1867" s="28"/>
      <c r="K1867" s="39"/>
      <c r="L1867" s="17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</row>
    <row r="1868" spans="1:29" s="2" customFormat="1" ht="12" customHeight="1">
      <c r="A1868" s="4"/>
      <c r="B1868" s="6"/>
      <c r="C1868" s="4"/>
      <c r="D1868" s="6"/>
      <c r="E1868" s="7"/>
      <c r="F1868" s="8"/>
      <c r="G1868" s="9"/>
      <c r="H1868" s="9"/>
      <c r="I1868" s="27"/>
      <c r="J1868" s="28"/>
      <c r="K1868" s="39"/>
      <c r="L1868" s="17"/>
    </row>
    <row r="1869" spans="1:29" s="2" customFormat="1" ht="12" customHeight="1">
      <c r="A1869" s="13"/>
      <c r="B1869" s="6"/>
      <c r="C1869" s="4"/>
      <c r="D1869" s="6"/>
      <c r="E1869" s="7"/>
      <c r="F1869" s="8"/>
      <c r="G1869" s="9"/>
      <c r="H1869" s="9"/>
      <c r="I1869" s="27"/>
      <c r="J1869" s="28"/>
      <c r="K1869" s="39"/>
      <c r="L1869" s="17"/>
    </row>
    <row r="1870" spans="1:29" s="2" customFormat="1" ht="12" customHeight="1">
      <c r="A1870" s="13"/>
      <c r="B1870" s="6"/>
      <c r="C1870" s="4"/>
      <c r="D1870" s="6"/>
      <c r="E1870" s="7"/>
      <c r="F1870" s="8"/>
      <c r="G1870" s="9"/>
      <c r="H1870" s="9"/>
      <c r="I1870" s="27"/>
      <c r="J1870" s="28"/>
      <c r="K1870" s="39"/>
      <c r="L1870" s="17"/>
    </row>
    <row r="1871" spans="1:29" s="2" customFormat="1" ht="12" customHeight="1">
      <c r="A1871" s="4"/>
      <c r="B1871" s="6"/>
      <c r="C1871" s="4"/>
      <c r="D1871" s="6"/>
      <c r="E1871" s="7"/>
      <c r="F1871" s="8"/>
      <c r="G1871" s="9"/>
      <c r="H1871" s="9"/>
      <c r="I1871" s="27"/>
      <c r="J1871" s="28"/>
      <c r="K1871" s="39"/>
      <c r="L1871" s="17"/>
    </row>
    <row r="1872" spans="1:29" s="2" customFormat="1" ht="12" customHeight="1">
      <c r="A1872" s="4"/>
      <c r="B1872" s="6"/>
      <c r="C1872" s="4"/>
      <c r="D1872" s="6"/>
      <c r="E1872" s="7"/>
      <c r="F1872" s="8"/>
      <c r="G1872" s="9"/>
      <c r="H1872" s="9"/>
      <c r="I1872" s="27"/>
      <c r="J1872" s="28"/>
      <c r="K1872" s="39"/>
      <c r="L1872" s="17"/>
    </row>
    <row r="1873" spans="1:12" s="2" customFormat="1" ht="12" customHeight="1">
      <c r="A1873" s="4"/>
      <c r="B1873" s="6"/>
      <c r="C1873" s="4"/>
      <c r="D1873" s="6"/>
      <c r="E1873" s="7"/>
      <c r="F1873" s="8"/>
      <c r="G1873" s="9"/>
      <c r="H1873" s="9"/>
      <c r="I1873" s="27"/>
      <c r="J1873" s="28"/>
      <c r="K1873" s="39"/>
      <c r="L1873" s="17"/>
    </row>
    <row r="1874" spans="1:12" ht="12" customHeight="1">
      <c r="L1874" s="17"/>
    </row>
    <row r="1875" spans="1:12" customFormat="1" ht="12" customHeight="1">
      <c r="A1875" s="4"/>
      <c r="B1875" s="6"/>
      <c r="C1875" s="4"/>
      <c r="D1875" s="6"/>
      <c r="E1875" s="7"/>
      <c r="F1875" s="8"/>
      <c r="G1875" s="9"/>
      <c r="H1875" s="9"/>
      <c r="I1875" s="27"/>
      <c r="J1875" s="28"/>
      <c r="K1875" s="39"/>
      <c r="L1875" s="17"/>
    </row>
    <row r="1876" spans="1:12" s="2" customFormat="1" ht="12" customHeight="1">
      <c r="A1876" s="4"/>
      <c r="B1876" s="6"/>
      <c r="C1876" s="4"/>
      <c r="D1876" s="6"/>
      <c r="E1876" s="7"/>
      <c r="F1876" s="8"/>
      <c r="G1876" s="9"/>
      <c r="H1876" s="9"/>
      <c r="I1876" s="27"/>
      <c r="J1876" s="28"/>
      <c r="K1876" s="39"/>
      <c r="L1876" s="17"/>
    </row>
    <row r="1877" spans="1:12" s="2" customFormat="1" ht="12" customHeight="1">
      <c r="A1877" s="4"/>
      <c r="B1877" s="6"/>
      <c r="C1877" s="4"/>
      <c r="D1877" s="6"/>
      <c r="E1877" s="7"/>
      <c r="F1877" s="8"/>
      <c r="G1877" s="9"/>
      <c r="H1877" s="9"/>
      <c r="I1877" s="27"/>
      <c r="J1877" s="28"/>
      <c r="K1877" s="39"/>
      <c r="L1877" s="17"/>
    </row>
    <row r="1878" spans="1:12" s="2" customFormat="1" ht="12" customHeight="1">
      <c r="A1878" s="4"/>
      <c r="B1878" s="6"/>
      <c r="C1878" s="4"/>
      <c r="D1878" s="6"/>
      <c r="E1878" s="7"/>
      <c r="F1878" s="8"/>
      <c r="G1878" s="9"/>
      <c r="H1878" s="9"/>
      <c r="I1878" s="27"/>
      <c r="J1878" s="28"/>
      <c r="K1878" s="39"/>
      <c r="L1878" s="17"/>
    </row>
    <row r="1879" spans="1:12" s="2" customFormat="1" ht="12" customHeight="1">
      <c r="A1879" s="4"/>
      <c r="B1879" s="6"/>
      <c r="C1879" s="4"/>
      <c r="D1879" s="6"/>
      <c r="E1879" s="7"/>
      <c r="F1879" s="8"/>
      <c r="G1879" s="9"/>
      <c r="H1879" s="9"/>
      <c r="I1879" s="27"/>
      <c r="J1879" s="28"/>
      <c r="K1879" s="39"/>
      <c r="L1879" s="17"/>
    </row>
    <row r="1880" spans="1:12" s="2" customFormat="1" ht="12" customHeight="1">
      <c r="A1880" s="4"/>
      <c r="B1880" s="6"/>
      <c r="C1880" s="4"/>
      <c r="D1880" s="6"/>
      <c r="E1880" s="7"/>
      <c r="F1880" s="8"/>
      <c r="G1880" s="9"/>
      <c r="H1880" s="9"/>
      <c r="I1880" s="27"/>
      <c r="J1880" s="28"/>
      <c r="K1880" s="39"/>
      <c r="L1880" s="17"/>
    </row>
    <row r="1881" spans="1:12" s="2" customFormat="1" ht="12" customHeight="1">
      <c r="A1881" s="4"/>
      <c r="B1881" s="6"/>
      <c r="C1881" s="4"/>
      <c r="D1881" s="6"/>
      <c r="E1881" s="7"/>
      <c r="F1881" s="8"/>
      <c r="G1881" s="9"/>
      <c r="H1881" s="9"/>
      <c r="I1881" s="27"/>
      <c r="J1881" s="28"/>
      <c r="K1881" s="39"/>
      <c r="L1881" s="17"/>
    </row>
    <row r="1882" spans="1:12" customFormat="1" ht="12" customHeight="1">
      <c r="A1882" s="4"/>
      <c r="B1882" s="6"/>
      <c r="C1882" s="4"/>
      <c r="D1882" s="6"/>
      <c r="E1882" s="7"/>
      <c r="F1882" s="8"/>
      <c r="G1882" s="9"/>
      <c r="H1882" s="9"/>
      <c r="I1882" s="27"/>
      <c r="J1882" s="28"/>
      <c r="K1882" s="39"/>
      <c r="L1882" s="17"/>
    </row>
    <row r="1883" spans="1:12" ht="12" customHeight="1">
      <c r="L1883" s="17"/>
    </row>
    <row r="1884" spans="1:12" ht="12" customHeight="1">
      <c r="L1884" s="17"/>
    </row>
    <row r="1885" spans="1:12" ht="12" customHeight="1">
      <c r="L1885" s="16"/>
    </row>
    <row r="1886" spans="1:12" ht="12" customHeight="1">
      <c r="L1886" s="17"/>
    </row>
    <row r="1887" spans="1:12" ht="12" customHeight="1">
      <c r="L1887" s="17"/>
    </row>
    <row r="1888" spans="1:12" ht="12" customHeight="1">
      <c r="L1888" s="17"/>
    </row>
    <row r="1889" spans="1:29" customFormat="1" ht="12" customHeight="1">
      <c r="A1889" s="4"/>
      <c r="B1889" s="6"/>
      <c r="C1889" s="4"/>
      <c r="D1889" s="6"/>
      <c r="E1889" s="7"/>
      <c r="F1889" s="8"/>
      <c r="G1889" s="9"/>
      <c r="H1889" s="9"/>
      <c r="I1889" s="27"/>
      <c r="J1889" s="28"/>
      <c r="K1889" s="39"/>
      <c r="L1889" s="17"/>
    </row>
    <row r="1890" spans="1:29" customFormat="1" ht="12" customHeight="1">
      <c r="A1890" s="4"/>
      <c r="B1890" s="6"/>
      <c r="C1890" s="4"/>
      <c r="D1890" s="6"/>
      <c r="E1890" s="7"/>
      <c r="F1890" s="8"/>
      <c r="G1890" s="9"/>
      <c r="H1890" s="9"/>
      <c r="I1890" s="27"/>
      <c r="J1890" s="28"/>
      <c r="K1890" s="39"/>
      <c r="L1890" s="17"/>
    </row>
    <row r="1891" spans="1:29" customFormat="1" ht="12" customHeight="1">
      <c r="A1891" s="4"/>
      <c r="B1891" s="6"/>
      <c r="C1891" s="4"/>
      <c r="D1891" s="6"/>
      <c r="E1891" s="7"/>
      <c r="F1891" s="8"/>
      <c r="G1891" s="9"/>
      <c r="H1891" s="9"/>
      <c r="I1891" s="27"/>
      <c r="J1891" s="28"/>
      <c r="K1891" s="39"/>
      <c r="L1891" s="17"/>
    </row>
    <row r="1892" spans="1:29" customFormat="1" ht="12" customHeight="1">
      <c r="A1892" s="4"/>
      <c r="B1892" s="6"/>
      <c r="C1892" s="4"/>
      <c r="D1892" s="6"/>
      <c r="E1892" s="7"/>
      <c r="F1892" s="8"/>
      <c r="G1892" s="9"/>
      <c r="H1892" s="9"/>
      <c r="I1892" s="27"/>
      <c r="J1892" s="28"/>
      <c r="K1892" s="39"/>
      <c r="L1892" s="17"/>
    </row>
    <row r="1893" spans="1:29" customFormat="1" ht="12" customHeight="1">
      <c r="A1893" s="4"/>
      <c r="B1893" s="6"/>
      <c r="C1893" s="4"/>
      <c r="D1893" s="6"/>
      <c r="E1893" s="7"/>
      <c r="F1893" s="8"/>
      <c r="G1893" s="9"/>
      <c r="H1893" s="9"/>
      <c r="I1893" s="27"/>
      <c r="J1893" s="28"/>
      <c r="K1893" s="39"/>
      <c r="L1893" s="17"/>
    </row>
    <row r="1894" spans="1:29" customFormat="1" ht="12" customHeight="1">
      <c r="A1894" s="4"/>
      <c r="B1894" s="6"/>
      <c r="C1894" s="4"/>
      <c r="D1894" s="6"/>
      <c r="E1894" s="7"/>
      <c r="F1894" s="8"/>
      <c r="G1894" s="9"/>
      <c r="H1894" s="9"/>
      <c r="I1894" s="27"/>
      <c r="J1894" s="28"/>
      <c r="K1894" s="39"/>
      <c r="L1894" s="17"/>
    </row>
    <row r="1895" spans="1:29" customFormat="1" ht="12" customHeight="1">
      <c r="A1895" s="4"/>
      <c r="B1895" s="6"/>
      <c r="C1895" s="4"/>
      <c r="D1895" s="6"/>
      <c r="E1895" s="7"/>
      <c r="F1895" s="8"/>
      <c r="G1895" s="9"/>
      <c r="H1895" s="9"/>
      <c r="I1895" s="27"/>
      <c r="J1895" s="28"/>
      <c r="K1895" s="39"/>
      <c r="L1895" s="17"/>
    </row>
    <row r="1896" spans="1:29" customFormat="1" ht="12" customHeight="1">
      <c r="A1896" s="4"/>
      <c r="B1896" s="6"/>
      <c r="C1896" s="4"/>
      <c r="D1896" s="6"/>
      <c r="E1896" s="7"/>
      <c r="F1896" s="8"/>
      <c r="G1896" s="9"/>
      <c r="H1896" s="9"/>
      <c r="I1896" s="27"/>
      <c r="J1896" s="28"/>
      <c r="K1896" s="39"/>
      <c r="L1896" s="17"/>
    </row>
    <row r="1897" spans="1:29" customFormat="1" ht="12" customHeight="1">
      <c r="A1897" s="4"/>
      <c r="B1897" s="6"/>
      <c r="C1897" s="4"/>
      <c r="D1897" s="6"/>
      <c r="E1897" s="7"/>
      <c r="F1897" s="8"/>
      <c r="G1897" s="9"/>
      <c r="H1897" s="9"/>
      <c r="I1897" s="27"/>
      <c r="J1897" s="28"/>
      <c r="K1897" s="39"/>
      <c r="L1897" s="17"/>
    </row>
    <row r="1898" spans="1:29" customFormat="1" ht="12" customHeight="1">
      <c r="A1898" s="4"/>
      <c r="B1898" s="6"/>
      <c r="C1898" s="4"/>
      <c r="D1898" s="6"/>
      <c r="E1898" s="7"/>
      <c r="F1898" s="8"/>
      <c r="G1898" s="9"/>
      <c r="H1898" s="9"/>
      <c r="I1898" s="27"/>
      <c r="J1898" s="28"/>
      <c r="K1898" s="39"/>
      <c r="L1898" s="17"/>
    </row>
    <row r="1899" spans="1:29" ht="12" customHeight="1">
      <c r="L1899" s="17"/>
    </row>
    <row r="1900" spans="1:29" ht="12" customHeight="1">
      <c r="L1900" s="17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</row>
    <row r="1901" spans="1:29" ht="12" customHeight="1">
      <c r="L1901" s="17"/>
    </row>
    <row r="1902" spans="1:29" ht="12" customHeight="1">
      <c r="L1902" s="17"/>
    </row>
    <row r="1903" spans="1:29" ht="12" customHeight="1">
      <c r="L1903" s="17"/>
    </row>
    <row r="1904" spans="1:29" ht="12" customHeight="1">
      <c r="L1904" s="17"/>
    </row>
    <row r="1905" spans="1:12" ht="12" customHeight="1">
      <c r="L1905" s="17"/>
    </row>
    <row r="1906" spans="1:12" ht="12" customHeight="1">
      <c r="L1906" s="17"/>
    </row>
    <row r="1907" spans="1:12" ht="12" customHeight="1">
      <c r="L1907" s="17"/>
    </row>
    <row r="1908" spans="1:12" ht="12" customHeight="1">
      <c r="L1908" s="17"/>
    </row>
    <row r="1909" spans="1:12" customFormat="1" ht="12" customHeight="1">
      <c r="A1909" s="4"/>
      <c r="B1909" s="6"/>
      <c r="C1909" s="4"/>
      <c r="D1909" s="6"/>
      <c r="E1909" s="7"/>
      <c r="F1909" s="8"/>
      <c r="G1909" s="9"/>
      <c r="H1909" s="9"/>
      <c r="I1909" s="27"/>
      <c r="J1909" s="28"/>
      <c r="K1909" s="39"/>
      <c r="L1909" s="17"/>
    </row>
    <row r="1910" spans="1:12" ht="12" customHeight="1">
      <c r="L1910" s="17"/>
    </row>
    <row r="1911" spans="1:12" ht="12" customHeight="1">
      <c r="L1911" s="17"/>
    </row>
    <row r="1912" spans="1:12" ht="12" customHeight="1">
      <c r="L1912" s="17"/>
    </row>
    <row r="1913" spans="1:12" ht="12" customHeight="1">
      <c r="L1913" s="17"/>
    </row>
    <row r="1914" spans="1:12" ht="12" customHeight="1">
      <c r="L1914" s="17"/>
    </row>
    <row r="1915" spans="1:12" ht="12" customHeight="1">
      <c r="L1915" s="17"/>
    </row>
    <row r="1916" spans="1:12" ht="12" customHeight="1">
      <c r="L1916" s="17"/>
    </row>
    <row r="1917" spans="1:12" ht="12" customHeight="1">
      <c r="A1917" s="2"/>
      <c r="L1917" s="17"/>
    </row>
    <row r="1918" spans="1:12" ht="12" customHeight="1">
      <c r="L1918" s="17"/>
    </row>
    <row r="1919" spans="1:12" ht="12" customHeight="1">
      <c r="A1919" s="5"/>
      <c r="L1919" s="17"/>
    </row>
    <row r="1920" spans="1:12" ht="12" customHeight="1">
      <c r="L1920" s="17"/>
    </row>
    <row r="1921" spans="1:12" ht="12" customHeight="1">
      <c r="L1921" s="17"/>
    </row>
    <row r="1922" spans="1:12" ht="12" customHeight="1">
      <c r="L1922" s="17"/>
    </row>
    <row r="1923" spans="1:12" ht="12" customHeight="1">
      <c r="L1923" s="17"/>
    </row>
    <row r="1924" spans="1:12" ht="12" customHeight="1">
      <c r="L1924" s="17"/>
    </row>
    <row r="1925" spans="1:12" ht="12.75" customHeight="1">
      <c r="L1925" s="17"/>
    </row>
    <row r="1926" spans="1:12" customFormat="1" ht="12" customHeight="1">
      <c r="A1926" s="4"/>
      <c r="B1926" s="6"/>
      <c r="C1926" s="4"/>
      <c r="D1926" s="6"/>
      <c r="E1926" s="7"/>
      <c r="F1926" s="8"/>
      <c r="G1926" s="9"/>
      <c r="H1926" s="9"/>
      <c r="I1926" s="27"/>
      <c r="J1926" s="28"/>
      <c r="K1926" s="39"/>
      <c r="L1926" s="17"/>
    </row>
    <row r="1927" spans="1:12" ht="12" customHeight="1">
      <c r="L1927" s="17"/>
    </row>
    <row r="1928" spans="1:12" ht="12" customHeight="1">
      <c r="L1928" s="17"/>
    </row>
    <row r="1929" spans="1:12" customFormat="1" ht="12" customHeight="1">
      <c r="A1929" s="4"/>
      <c r="B1929" s="6"/>
      <c r="C1929" s="4"/>
      <c r="D1929" s="6"/>
      <c r="E1929" s="7"/>
      <c r="F1929" s="8"/>
      <c r="G1929" s="9"/>
      <c r="H1929" s="9"/>
      <c r="I1929" s="27"/>
      <c r="J1929" s="28"/>
      <c r="K1929" s="39"/>
      <c r="L1929" s="17"/>
    </row>
    <row r="1930" spans="1:12" customFormat="1" ht="12" customHeight="1">
      <c r="A1930" s="4"/>
      <c r="B1930" s="6"/>
      <c r="C1930" s="4"/>
      <c r="D1930" s="6"/>
      <c r="E1930" s="7"/>
      <c r="F1930" s="8"/>
      <c r="G1930" s="9"/>
      <c r="H1930" s="9"/>
      <c r="I1930" s="27"/>
      <c r="J1930" s="28"/>
      <c r="K1930" s="39"/>
      <c r="L1930" s="17"/>
    </row>
    <row r="1931" spans="1:12" s="13" customFormat="1" ht="12" customHeight="1">
      <c r="A1931" s="4"/>
      <c r="B1931" s="6"/>
      <c r="C1931" s="4"/>
      <c r="D1931" s="6"/>
      <c r="E1931" s="7"/>
      <c r="F1931" s="8"/>
      <c r="G1931" s="9"/>
      <c r="H1931" s="9"/>
      <c r="I1931" s="27"/>
      <c r="J1931" s="28"/>
      <c r="K1931" s="39"/>
      <c r="L1931" s="17"/>
    </row>
    <row r="1932" spans="1:12" ht="12" customHeight="1">
      <c r="L1932" s="17"/>
    </row>
    <row r="1933" spans="1:12" customFormat="1" ht="12" customHeight="1">
      <c r="A1933" s="4"/>
      <c r="B1933" s="6"/>
      <c r="C1933" s="4"/>
      <c r="D1933" s="6"/>
      <c r="E1933" s="7"/>
      <c r="F1933" s="8"/>
      <c r="G1933" s="9"/>
      <c r="H1933" s="9"/>
      <c r="I1933" s="27"/>
      <c r="J1933" s="28"/>
      <c r="K1933" s="39"/>
      <c r="L1933" s="17"/>
    </row>
    <row r="1934" spans="1:12" customFormat="1" ht="12" customHeight="1">
      <c r="A1934" s="4"/>
      <c r="B1934" s="6"/>
      <c r="C1934" s="4"/>
      <c r="D1934" s="6"/>
      <c r="E1934" s="7"/>
      <c r="F1934" s="8"/>
      <c r="G1934" s="9"/>
      <c r="H1934" s="9"/>
      <c r="I1934" s="27"/>
      <c r="J1934" s="28"/>
      <c r="K1934" s="39"/>
      <c r="L1934" s="17"/>
    </row>
    <row r="1935" spans="1:12" customFormat="1" ht="12" customHeight="1">
      <c r="A1935" s="4"/>
      <c r="B1935" s="6"/>
      <c r="C1935" s="4"/>
      <c r="D1935" s="6"/>
      <c r="E1935" s="7"/>
      <c r="F1935" s="8"/>
      <c r="G1935" s="9"/>
      <c r="H1935" s="9"/>
      <c r="I1935" s="27"/>
      <c r="J1935" s="28"/>
      <c r="K1935" s="39"/>
      <c r="L1935" s="17"/>
    </row>
    <row r="1936" spans="1:12" customFormat="1" ht="12" customHeight="1">
      <c r="A1936" s="4"/>
      <c r="B1936" s="6"/>
      <c r="C1936" s="4"/>
      <c r="D1936" s="6"/>
      <c r="E1936" s="7"/>
      <c r="F1936" s="8"/>
      <c r="G1936" s="9"/>
      <c r="H1936" s="9"/>
      <c r="I1936" s="27"/>
      <c r="J1936" s="28"/>
      <c r="K1936" s="39"/>
      <c r="L1936" s="17"/>
    </row>
    <row r="1937" spans="1:12" customFormat="1" ht="12" customHeight="1">
      <c r="A1937" s="4"/>
      <c r="B1937" s="6"/>
      <c r="C1937" s="4"/>
      <c r="D1937" s="6"/>
      <c r="E1937" s="7"/>
      <c r="F1937" s="8"/>
      <c r="G1937" s="9"/>
      <c r="H1937" s="9"/>
      <c r="I1937" s="27"/>
      <c r="J1937" s="28"/>
      <c r="K1937" s="39"/>
      <c r="L1937" s="17"/>
    </row>
    <row r="1938" spans="1:12" customFormat="1" ht="12" customHeight="1">
      <c r="A1938" s="4"/>
      <c r="B1938" s="6"/>
      <c r="C1938" s="4"/>
      <c r="D1938" s="6"/>
      <c r="E1938" s="7"/>
      <c r="F1938" s="8"/>
      <c r="G1938" s="9"/>
      <c r="H1938" s="9"/>
      <c r="I1938" s="27"/>
      <c r="J1938" s="28"/>
      <c r="K1938" s="39"/>
      <c r="L1938" s="17"/>
    </row>
    <row r="1939" spans="1:12" customFormat="1" ht="12" customHeight="1">
      <c r="A1939" s="4"/>
      <c r="B1939" s="6"/>
      <c r="C1939" s="4"/>
      <c r="D1939" s="6"/>
      <c r="E1939" s="7"/>
      <c r="F1939" s="8"/>
      <c r="G1939" s="9"/>
      <c r="H1939" s="9"/>
      <c r="I1939" s="27"/>
      <c r="J1939" s="28"/>
      <c r="K1939" s="39"/>
      <c r="L1939" s="17"/>
    </row>
    <row r="1940" spans="1:12" customFormat="1" ht="12" customHeight="1">
      <c r="A1940" s="4"/>
      <c r="B1940" s="6"/>
      <c r="C1940" s="4"/>
      <c r="D1940" s="6"/>
      <c r="E1940" s="7"/>
      <c r="F1940" s="8"/>
      <c r="G1940" s="9"/>
      <c r="H1940" s="9"/>
      <c r="I1940" s="27"/>
      <c r="J1940" s="28"/>
      <c r="K1940" s="39"/>
      <c r="L1940" s="17"/>
    </row>
    <row r="1941" spans="1:12" s="13" customFormat="1" ht="12" customHeight="1">
      <c r="A1941" s="4"/>
      <c r="B1941" s="6"/>
      <c r="C1941" s="4"/>
      <c r="D1941" s="6"/>
      <c r="E1941" s="7"/>
      <c r="F1941" s="8"/>
      <c r="G1941" s="9"/>
      <c r="H1941" s="9"/>
      <c r="I1941" s="27"/>
      <c r="J1941" s="28"/>
      <c r="K1941" s="39"/>
      <c r="L1941" s="17"/>
    </row>
    <row r="1942" spans="1:12" s="13" customFormat="1" ht="12" customHeight="1">
      <c r="A1942" s="4"/>
      <c r="B1942" s="6"/>
      <c r="C1942" s="4"/>
      <c r="D1942" s="6"/>
      <c r="E1942" s="7"/>
      <c r="F1942" s="8"/>
      <c r="G1942" s="9"/>
      <c r="H1942" s="9"/>
      <c r="I1942" s="27"/>
      <c r="J1942" s="28"/>
      <c r="K1942" s="39"/>
      <c r="L1942" s="17"/>
    </row>
    <row r="1943" spans="1:12" ht="12" customHeight="1">
      <c r="L1943" s="17"/>
    </row>
    <row r="1944" spans="1:12" customFormat="1" ht="12" customHeight="1">
      <c r="A1944" s="4"/>
      <c r="B1944" s="6"/>
      <c r="C1944" s="4"/>
      <c r="D1944" s="6"/>
      <c r="E1944" s="7"/>
      <c r="F1944" s="8"/>
      <c r="G1944" s="9"/>
      <c r="H1944" s="9"/>
      <c r="I1944" s="27"/>
      <c r="J1944" s="28"/>
      <c r="K1944" s="39"/>
      <c r="L1944" s="17"/>
    </row>
    <row r="1945" spans="1:12" customFormat="1" ht="12" customHeight="1">
      <c r="A1945" s="4"/>
      <c r="B1945" s="6"/>
      <c r="C1945" s="4"/>
      <c r="D1945" s="6"/>
      <c r="E1945" s="7"/>
      <c r="F1945" s="8"/>
      <c r="G1945" s="9"/>
      <c r="H1945" s="9"/>
      <c r="I1945" s="27"/>
      <c r="J1945" s="28"/>
      <c r="K1945" s="39"/>
      <c r="L1945" s="17"/>
    </row>
    <row r="1946" spans="1:12" ht="12" customHeight="1">
      <c r="L1946" s="17"/>
    </row>
    <row r="1947" spans="1:12" customFormat="1" ht="12" customHeight="1">
      <c r="A1947" s="4"/>
      <c r="B1947" s="6"/>
      <c r="C1947" s="4"/>
      <c r="D1947" s="6"/>
      <c r="E1947" s="7"/>
      <c r="F1947" s="8"/>
      <c r="G1947" s="9"/>
      <c r="H1947" s="9"/>
      <c r="I1947" s="27"/>
      <c r="J1947" s="28"/>
      <c r="K1947" s="39"/>
      <c r="L1947" s="17"/>
    </row>
    <row r="1948" spans="1:12" ht="12" customHeight="1">
      <c r="L1948" s="17"/>
    </row>
    <row r="1949" spans="1:12" customFormat="1" ht="12" customHeight="1">
      <c r="A1949" s="4"/>
      <c r="B1949" s="6"/>
      <c r="C1949" s="4"/>
      <c r="D1949" s="6"/>
      <c r="E1949" s="7"/>
      <c r="F1949" s="8"/>
      <c r="G1949" s="9"/>
      <c r="H1949" s="9"/>
      <c r="I1949" s="27"/>
      <c r="J1949" s="28"/>
      <c r="K1949" s="39"/>
      <c r="L1949" s="17"/>
    </row>
    <row r="1950" spans="1:12" ht="12" customHeight="1">
      <c r="L1950" s="17"/>
    </row>
    <row r="1951" spans="1:12" ht="12" customHeight="1">
      <c r="L1951" s="17"/>
    </row>
    <row r="1952" spans="1:12" ht="12" customHeight="1">
      <c r="L1952" s="17"/>
    </row>
    <row r="1953" spans="1:29" ht="12" customHeight="1">
      <c r="L1953" s="17"/>
    </row>
    <row r="1954" spans="1:29" ht="12" customHeight="1">
      <c r="L1954" s="17"/>
    </row>
    <row r="1955" spans="1:29" ht="12" customHeight="1">
      <c r="L1955" s="17"/>
    </row>
    <row r="1956" spans="1:29" ht="12" customHeight="1">
      <c r="L1956" s="17"/>
    </row>
    <row r="1957" spans="1:29" ht="12" customHeight="1">
      <c r="L1957" s="17"/>
    </row>
    <row r="1958" spans="1:29" ht="12" customHeight="1">
      <c r="L1958" s="17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</row>
    <row r="1959" spans="1:29" ht="12" customHeight="1">
      <c r="L1959" s="17"/>
    </row>
    <row r="1960" spans="1:29" ht="12" customHeight="1">
      <c r="L1960" s="17"/>
    </row>
    <row r="1961" spans="1:29" ht="12" customHeight="1">
      <c r="L1961" s="17"/>
    </row>
    <row r="1962" spans="1:29" ht="12" customHeight="1">
      <c r="L1962" s="17"/>
    </row>
    <row r="1963" spans="1:29" ht="12" customHeight="1">
      <c r="L1963" s="17"/>
    </row>
    <row r="1964" spans="1:29" ht="12" customHeight="1">
      <c r="L1964" s="17"/>
    </row>
    <row r="1965" spans="1:29" ht="12" customHeight="1">
      <c r="L1965" s="17"/>
    </row>
    <row r="1966" spans="1:29" ht="12" customHeight="1">
      <c r="L1966" s="17"/>
    </row>
    <row r="1967" spans="1:29" customFormat="1" ht="12" customHeight="1">
      <c r="A1967" s="4"/>
      <c r="B1967" s="6"/>
      <c r="C1967" s="4"/>
      <c r="D1967" s="6"/>
      <c r="E1967" s="7"/>
      <c r="F1967" s="8"/>
      <c r="G1967" s="9"/>
      <c r="H1967" s="9"/>
      <c r="I1967" s="27"/>
      <c r="J1967" s="28"/>
      <c r="K1967" s="39"/>
      <c r="L1967" s="17"/>
    </row>
    <row r="1968" spans="1:29" ht="12" customHeight="1">
      <c r="L1968" s="17"/>
    </row>
    <row r="1969" spans="1:12" ht="12" customHeight="1">
      <c r="L1969" s="17"/>
    </row>
    <row r="1970" spans="1:12" ht="12" customHeight="1">
      <c r="L1970" s="17"/>
    </row>
    <row r="1971" spans="1:12" ht="27.75" customHeight="1">
      <c r="L1971" s="17"/>
    </row>
    <row r="1972" spans="1:12" customFormat="1" ht="12" customHeight="1">
      <c r="A1972" s="4"/>
      <c r="B1972" s="6"/>
      <c r="C1972" s="4"/>
      <c r="D1972" s="6"/>
      <c r="E1972" s="7"/>
      <c r="F1972" s="8"/>
      <c r="G1972" s="9"/>
      <c r="H1972" s="9"/>
      <c r="I1972" s="27"/>
      <c r="J1972" s="28"/>
      <c r="K1972" s="39"/>
      <c r="L1972" s="17"/>
    </row>
    <row r="1973" spans="1:12" ht="12" customHeight="1">
      <c r="L1973" s="17"/>
    </row>
    <row r="1974" spans="1:12" ht="12" customHeight="1">
      <c r="L1974" s="17"/>
    </row>
    <row r="1975" spans="1:12" ht="12" customHeight="1">
      <c r="L1975" s="17"/>
    </row>
    <row r="1976" spans="1:12" ht="12" customHeight="1">
      <c r="L1976" s="17"/>
    </row>
    <row r="1977" spans="1:12" ht="12" customHeight="1">
      <c r="L1977" s="17"/>
    </row>
    <row r="1978" spans="1:12" ht="12" customHeight="1">
      <c r="L1978" s="17"/>
    </row>
    <row r="1979" spans="1:12" ht="12" customHeight="1">
      <c r="L1979" s="17"/>
    </row>
    <row r="1980" spans="1:12" ht="12" customHeight="1">
      <c r="L1980" s="17"/>
    </row>
    <row r="1981" spans="1:12" customFormat="1" ht="12" customHeight="1">
      <c r="A1981" s="4"/>
      <c r="B1981" s="6"/>
      <c r="C1981" s="4"/>
      <c r="D1981" s="6"/>
      <c r="E1981" s="7"/>
      <c r="F1981" s="8"/>
      <c r="G1981" s="9"/>
      <c r="H1981" s="9"/>
      <c r="I1981" s="27"/>
      <c r="J1981" s="28"/>
      <c r="K1981" s="39"/>
      <c r="L1981" s="17"/>
    </row>
    <row r="1982" spans="1:12" ht="12" customHeight="1">
      <c r="L1982" s="17"/>
    </row>
    <row r="1983" spans="1:12" ht="12" customHeight="1">
      <c r="L1983" s="17"/>
    </row>
    <row r="1984" spans="1:12" ht="12" customHeight="1">
      <c r="L1984" s="17"/>
    </row>
    <row r="1985" spans="1:29" ht="12" customHeight="1">
      <c r="L1985" s="17"/>
    </row>
    <row r="1986" spans="1:29" ht="12" customHeight="1">
      <c r="L1986" s="17"/>
    </row>
    <row r="1987" spans="1:29" ht="12" customHeight="1">
      <c r="L1987" s="17"/>
    </row>
    <row r="1988" spans="1:29" ht="12" customHeight="1">
      <c r="L1988" s="17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</row>
    <row r="1989" spans="1:29" s="2" customFormat="1" ht="12" customHeight="1">
      <c r="A1989" s="4"/>
      <c r="B1989" s="6"/>
      <c r="C1989" s="4"/>
      <c r="D1989" s="6"/>
      <c r="E1989" s="7"/>
      <c r="F1989" s="8"/>
      <c r="G1989" s="9"/>
      <c r="H1989" s="9"/>
      <c r="I1989" s="27"/>
      <c r="J1989" s="28"/>
      <c r="K1989" s="39"/>
      <c r="L1989" s="17"/>
    </row>
    <row r="1990" spans="1:29" ht="12" customHeight="1">
      <c r="L1990" s="17"/>
    </row>
    <row r="1991" spans="1:29" s="5" customFormat="1" ht="12" customHeight="1">
      <c r="A1991" s="4"/>
      <c r="B1991" s="6"/>
      <c r="C1991" s="4"/>
      <c r="D1991" s="6"/>
      <c r="E1991" s="7"/>
      <c r="F1991" s="8"/>
      <c r="G1991" s="9"/>
      <c r="H1991" s="9"/>
      <c r="I1991" s="27"/>
      <c r="J1991" s="28"/>
      <c r="K1991" s="39"/>
      <c r="L1991" s="17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</row>
    <row r="1992" spans="1:29" ht="12" customHeight="1">
      <c r="L1992" s="17"/>
    </row>
    <row r="1993" spans="1:29" ht="12" customHeight="1">
      <c r="L1993" s="17"/>
    </row>
    <row r="1994" spans="1:29" ht="12" customHeight="1">
      <c r="L1994" s="17"/>
    </row>
    <row r="1995" spans="1:29" ht="12" customHeight="1">
      <c r="L1995" s="17"/>
    </row>
    <row r="1996" spans="1:29" ht="12" customHeight="1">
      <c r="L1996" s="17"/>
    </row>
    <row r="1997" spans="1:29" ht="12" customHeight="1">
      <c r="L1997" s="17"/>
    </row>
    <row r="1998" spans="1:29" ht="12" customHeight="1">
      <c r="L1998" s="17"/>
    </row>
    <row r="1999" spans="1:29" ht="12" customHeight="1">
      <c r="L1999" s="17"/>
    </row>
    <row r="2000" spans="1:29" ht="12" customHeight="1">
      <c r="L2000" s="17"/>
    </row>
    <row r="2001" spans="1:29" customFormat="1" ht="12" customHeight="1">
      <c r="A2001" s="4"/>
      <c r="B2001" s="6"/>
      <c r="C2001" s="4"/>
      <c r="D2001" s="6"/>
      <c r="E2001" s="7"/>
      <c r="F2001" s="8"/>
      <c r="G2001" s="9"/>
      <c r="H2001" s="9"/>
      <c r="I2001" s="27"/>
      <c r="J2001" s="28"/>
      <c r="K2001" s="39"/>
      <c r="L2001" s="17"/>
    </row>
    <row r="2002" spans="1:29" ht="12" customHeight="1">
      <c r="L2002" s="17"/>
    </row>
    <row r="2003" spans="1:29" ht="12" customHeight="1">
      <c r="L2003" s="17"/>
    </row>
    <row r="2004" spans="1:29" ht="12" customHeight="1">
      <c r="L2004" s="17"/>
    </row>
    <row r="2005" spans="1:29" ht="12" customHeight="1">
      <c r="L2005" s="17"/>
    </row>
    <row r="2006" spans="1:29" ht="12" customHeight="1">
      <c r="L2006" s="17"/>
    </row>
    <row r="2007" spans="1:29" ht="12" customHeight="1">
      <c r="L2007" s="17"/>
    </row>
    <row r="2008" spans="1:29" ht="12" customHeight="1">
      <c r="L2008" s="17"/>
    </row>
    <row r="2009" spans="1:29" ht="12" customHeight="1">
      <c r="L2009" s="17"/>
    </row>
    <row r="2010" spans="1:29" ht="12" customHeight="1">
      <c r="L2010" s="17"/>
    </row>
    <row r="2011" spans="1:29" ht="12" customHeight="1">
      <c r="L2011" s="17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</row>
    <row r="2012" spans="1:29" ht="12" customHeight="1">
      <c r="L2012" s="17"/>
    </row>
    <row r="2013" spans="1:29" ht="12" customHeight="1">
      <c r="L2013" s="17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</row>
    <row r="2014" spans="1:29" ht="12" customHeight="1">
      <c r="A2014" s="2"/>
      <c r="L2014" s="17"/>
    </row>
    <row r="2015" spans="1:29" ht="12" customHeight="1">
      <c r="A2015" s="2"/>
      <c r="L2015" s="17"/>
    </row>
    <row r="2016" spans="1:29" ht="12" customHeight="1">
      <c r="A2016" s="2"/>
      <c r="L2016" s="17"/>
    </row>
    <row r="2017" spans="1:12" ht="12" customHeight="1">
      <c r="A2017" s="2"/>
      <c r="L2017" s="17"/>
    </row>
    <row r="2018" spans="1:12" ht="12" customHeight="1">
      <c r="A2018" s="2"/>
      <c r="L2018" s="17"/>
    </row>
    <row r="2019" spans="1:12" ht="12" customHeight="1">
      <c r="A2019" s="2"/>
      <c r="L2019" s="17"/>
    </row>
    <row r="2020" spans="1:12" ht="12" customHeight="1">
      <c r="A2020" s="2"/>
      <c r="L2020" s="17"/>
    </row>
    <row r="2021" spans="1:12" ht="12" customHeight="1">
      <c r="A2021" s="2"/>
      <c r="L2021" s="17"/>
    </row>
    <row r="2022" spans="1:12" ht="12" customHeight="1">
      <c r="A2022" s="2"/>
      <c r="L2022" s="17"/>
    </row>
    <row r="2023" spans="1:12" ht="12" customHeight="1">
      <c r="A2023" s="2"/>
      <c r="L2023" s="17"/>
    </row>
    <row r="2024" spans="1:12" ht="12" customHeight="1">
      <c r="A2024" s="2"/>
      <c r="L2024" s="17"/>
    </row>
    <row r="2025" spans="1:12" ht="12" customHeight="1">
      <c r="A2025" s="2"/>
      <c r="L2025" s="17"/>
    </row>
    <row r="2026" spans="1:12" ht="12" customHeight="1">
      <c r="A2026" s="2"/>
      <c r="L2026" s="17"/>
    </row>
    <row r="2027" spans="1:12" customFormat="1" ht="12" customHeight="1">
      <c r="A2027" s="4"/>
      <c r="B2027" s="6"/>
      <c r="C2027" s="4"/>
      <c r="D2027" s="6"/>
      <c r="E2027" s="7"/>
      <c r="F2027" s="8"/>
      <c r="G2027" s="9"/>
      <c r="H2027" s="9"/>
      <c r="I2027" s="27"/>
      <c r="J2027" s="28"/>
      <c r="K2027" s="39"/>
      <c r="L2027" s="17"/>
    </row>
    <row r="2028" spans="1:12" ht="12" customHeight="1">
      <c r="L2028" s="17"/>
    </row>
    <row r="2029" spans="1:12" ht="12" customHeight="1">
      <c r="L2029" s="17"/>
    </row>
    <row r="2030" spans="1:12" ht="12" customHeight="1">
      <c r="L2030" s="17"/>
    </row>
    <row r="2031" spans="1:12" ht="12" customHeight="1">
      <c r="L2031" s="17"/>
    </row>
    <row r="2032" spans="1:12" ht="12" customHeight="1">
      <c r="L2032" s="17"/>
    </row>
    <row r="2033" spans="12:12" ht="12" customHeight="1">
      <c r="L2033" s="17"/>
    </row>
    <row r="2034" spans="12:12" ht="12" customHeight="1">
      <c r="L2034" s="17"/>
    </row>
    <row r="2035" spans="12:12" ht="12" customHeight="1">
      <c r="L2035" s="17"/>
    </row>
    <row r="2036" spans="12:12" ht="12" customHeight="1">
      <c r="L2036" s="17"/>
    </row>
    <row r="2037" spans="12:12" ht="12" customHeight="1">
      <c r="L2037" s="17"/>
    </row>
    <row r="2038" spans="12:12" ht="12" customHeight="1">
      <c r="L2038" s="17"/>
    </row>
    <row r="2039" spans="12:12" ht="12" customHeight="1">
      <c r="L2039" s="17"/>
    </row>
    <row r="2040" spans="12:12" ht="12" customHeight="1">
      <c r="L2040" s="17"/>
    </row>
    <row r="2041" spans="12:12" ht="12" customHeight="1">
      <c r="L2041" s="17"/>
    </row>
    <row r="2042" spans="12:12" ht="12" customHeight="1">
      <c r="L2042" s="17"/>
    </row>
    <row r="2043" spans="12:12" ht="12" customHeight="1">
      <c r="L2043" s="17"/>
    </row>
    <row r="2044" spans="12:12" ht="12" customHeight="1">
      <c r="L2044" s="17"/>
    </row>
    <row r="2045" spans="12:12" ht="12" customHeight="1">
      <c r="L2045" s="17"/>
    </row>
    <row r="2046" spans="12:12" ht="12" customHeight="1">
      <c r="L2046" s="17"/>
    </row>
    <row r="2047" spans="12:12" ht="12" customHeight="1">
      <c r="L2047" s="17"/>
    </row>
    <row r="2048" spans="12:12" ht="12" customHeight="1">
      <c r="L2048" s="17"/>
    </row>
    <row r="2049" spans="1:29" ht="12" customHeight="1">
      <c r="L2049" s="17"/>
    </row>
    <row r="2050" spans="1:29" ht="12" customHeight="1">
      <c r="L2050" s="17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</row>
    <row r="2051" spans="1:29" ht="12" customHeight="1">
      <c r="L2051" s="17"/>
    </row>
    <row r="2052" spans="1:29" ht="12" customHeight="1">
      <c r="L2052" s="17"/>
    </row>
    <row r="2053" spans="1:29" ht="12" customHeight="1">
      <c r="L2053" s="17"/>
    </row>
    <row r="2054" spans="1:29" ht="12" customHeight="1">
      <c r="L2054" s="17"/>
    </row>
    <row r="2055" spans="1:29" ht="12" customHeight="1">
      <c r="L2055" s="17"/>
    </row>
    <row r="2056" spans="1:29" ht="12" customHeight="1">
      <c r="L2056" s="17"/>
    </row>
    <row r="2057" spans="1:29" customFormat="1" ht="12" customHeight="1">
      <c r="A2057" s="4"/>
      <c r="B2057" s="6"/>
      <c r="C2057" s="4"/>
      <c r="D2057" s="6"/>
      <c r="E2057" s="7"/>
      <c r="F2057" s="8"/>
      <c r="G2057" s="9"/>
      <c r="H2057" s="9"/>
      <c r="I2057" s="27"/>
      <c r="J2057" s="28"/>
      <c r="K2057" s="39"/>
      <c r="L2057" s="17"/>
    </row>
    <row r="2058" spans="1:29" ht="12" customHeight="1">
      <c r="L2058" s="17"/>
    </row>
    <row r="2059" spans="1:29" ht="12" customHeight="1">
      <c r="L2059" s="17"/>
    </row>
    <row r="2060" spans="1:29" ht="12" customHeight="1">
      <c r="L2060" s="17"/>
    </row>
    <row r="2061" spans="1:29" ht="12" customHeight="1">
      <c r="L2061" s="17"/>
    </row>
    <row r="2062" spans="1:29" ht="12" customHeight="1">
      <c r="L2062" s="17"/>
    </row>
    <row r="2063" spans="1:29" ht="12" customHeight="1">
      <c r="L2063" s="17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</row>
    <row r="2064" spans="1:29" ht="12" customHeight="1">
      <c r="L2064" s="17"/>
    </row>
    <row r="2065" spans="1:29" ht="12" customHeight="1">
      <c r="L2065" s="17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</row>
    <row r="2066" spans="1:29" ht="12" customHeight="1">
      <c r="L2066" s="17"/>
    </row>
    <row r="2067" spans="1:29" ht="12" customHeight="1">
      <c r="L2067" s="17"/>
    </row>
    <row r="2068" spans="1:29" ht="12" customHeight="1">
      <c r="L2068" s="17"/>
    </row>
    <row r="2069" spans="1:29" ht="12" customHeight="1">
      <c r="L2069" s="17"/>
    </row>
    <row r="2070" spans="1:29" ht="12" customHeight="1">
      <c r="L2070" s="17"/>
    </row>
    <row r="2071" spans="1:29" customFormat="1" ht="12" customHeight="1">
      <c r="A2071" s="4"/>
      <c r="B2071" s="6"/>
      <c r="C2071" s="4"/>
      <c r="D2071" s="6"/>
      <c r="E2071" s="7"/>
      <c r="F2071" s="8"/>
      <c r="G2071" s="9"/>
      <c r="H2071" s="9"/>
      <c r="I2071" s="27"/>
      <c r="J2071" s="28"/>
      <c r="K2071" s="39"/>
      <c r="L2071" s="17"/>
    </row>
    <row r="2072" spans="1:29" customFormat="1" ht="12" customHeight="1">
      <c r="A2072" s="4"/>
      <c r="B2072" s="6"/>
      <c r="C2072" s="4"/>
      <c r="D2072" s="6"/>
      <c r="E2072" s="7"/>
      <c r="F2072" s="8"/>
      <c r="G2072" s="9"/>
      <c r="H2072" s="9"/>
      <c r="I2072" s="27"/>
      <c r="J2072" s="28"/>
      <c r="K2072" s="39"/>
      <c r="L2072" s="17"/>
    </row>
    <row r="2073" spans="1:29" ht="12" customHeight="1">
      <c r="L2073" s="17"/>
    </row>
    <row r="2074" spans="1:29" customFormat="1" ht="12" customHeight="1">
      <c r="A2074" s="4"/>
      <c r="B2074" s="6"/>
      <c r="C2074" s="4"/>
      <c r="D2074" s="6"/>
      <c r="E2074" s="7"/>
      <c r="F2074" s="8"/>
      <c r="G2074" s="9"/>
      <c r="H2074" s="9"/>
      <c r="I2074" s="27"/>
      <c r="J2074" s="28"/>
      <c r="K2074" s="39"/>
      <c r="L2074" s="17"/>
    </row>
    <row r="2075" spans="1:29" ht="12" customHeight="1">
      <c r="L2075" s="17"/>
    </row>
    <row r="2076" spans="1:29" ht="12" customHeight="1">
      <c r="L2076" s="17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</row>
    <row r="2077" spans="1:29" ht="12" customHeight="1">
      <c r="L2077" s="17"/>
    </row>
    <row r="2078" spans="1:29" ht="12" customHeight="1">
      <c r="L2078" s="17"/>
    </row>
    <row r="2079" spans="1:29" ht="12" customHeight="1">
      <c r="L2079" s="17"/>
    </row>
    <row r="2080" spans="1:29" ht="12" customHeight="1">
      <c r="L2080" s="17"/>
    </row>
    <row r="2081" spans="1:12" ht="12" customHeight="1">
      <c r="L2081" s="17"/>
    </row>
    <row r="2082" spans="1:12" ht="12" customHeight="1">
      <c r="L2082" s="17"/>
    </row>
    <row r="2083" spans="1:12" ht="12" customHeight="1">
      <c r="L2083" s="17"/>
    </row>
    <row r="2084" spans="1:12" customFormat="1" ht="12" customHeight="1">
      <c r="A2084" s="4"/>
      <c r="B2084" s="6"/>
      <c r="C2084" s="4"/>
      <c r="D2084" s="6"/>
      <c r="E2084" s="7"/>
      <c r="F2084" s="8"/>
      <c r="G2084" s="9"/>
      <c r="H2084" s="9"/>
      <c r="I2084" s="27"/>
      <c r="J2084" s="28"/>
      <c r="K2084" s="39"/>
      <c r="L2084" s="17"/>
    </row>
    <row r="2085" spans="1:12" customFormat="1" ht="12" customHeight="1">
      <c r="A2085" s="4"/>
      <c r="B2085" s="6"/>
      <c r="C2085" s="4"/>
      <c r="D2085" s="6"/>
      <c r="E2085" s="7"/>
      <c r="F2085" s="8"/>
      <c r="G2085" s="9"/>
      <c r="H2085" s="9"/>
      <c r="I2085" s="27"/>
      <c r="J2085" s="28"/>
      <c r="K2085" s="39"/>
      <c r="L2085" s="17"/>
    </row>
    <row r="2086" spans="1:12" s="2" customFormat="1" ht="12" customHeight="1">
      <c r="A2086" s="4"/>
      <c r="B2086" s="6"/>
      <c r="C2086" s="4"/>
      <c r="D2086" s="6"/>
      <c r="E2086" s="7"/>
      <c r="F2086" s="8"/>
      <c r="G2086" s="9"/>
      <c r="H2086" s="9"/>
      <c r="I2086" s="27"/>
      <c r="J2086" s="28"/>
      <c r="K2086" s="39"/>
      <c r="L2086" s="17"/>
    </row>
    <row r="2087" spans="1:12" s="2" customFormat="1" ht="12" customHeight="1">
      <c r="A2087" s="4"/>
      <c r="B2087" s="6"/>
      <c r="C2087" s="4"/>
      <c r="D2087" s="6"/>
      <c r="E2087" s="7"/>
      <c r="F2087" s="8"/>
      <c r="G2087" s="9"/>
      <c r="H2087" s="9"/>
      <c r="I2087" s="27"/>
      <c r="J2087" s="28"/>
      <c r="K2087" s="39"/>
      <c r="L2087" s="17"/>
    </row>
    <row r="2088" spans="1:12" s="2" customFormat="1" ht="12" customHeight="1">
      <c r="A2088" s="4"/>
      <c r="B2088" s="6"/>
      <c r="C2088" s="4"/>
      <c r="D2088" s="6"/>
      <c r="E2088" s="7"/>
      <c r="F2088" s="8"/>
      <c r="G2088" s="9"/>
      <c r="H2088" s="9"/>
      <c r="I2088" s="27"/>
      <c r="J2088" s="28"/>
      <c r="K2088" s="39"/>
      <c r="L2088" s="17"/>
    </row>
    <row r="2089" spans="1:12" s="2" customFormat="1" ht="12" customHeight="1">
      <c r="A2089" s="4"/>
      <c r="B2089" s="6"/>
      <c r="C2089" s="4"/>
      <c r="D2089" s="6"/>
      <c r="E2089" s="7"/>
      <c r="F2089" s="8"/>
      <c r="G2089" s="9"/>
      <c r="H2089" s="9"/>
      <c r="I2089" s="27"/>
      <c r="J2089" s="28"/>
      <c r="K2089" s="39"/>
      <c r="L2089" s="17"/>
    </row>
    <row r="2090" spans="1:12" s="2" customFormat="1" ht="12" customHeight="1">
      <c r="A2090" s="4"/>
      <c r="B2090" s="6"/>
      <c r="C2090" s="4"/>
      <c r="D2090" s="6"/>
      <c r="E2090" s="7"/>
      <c r="F2090" s="8"/>
      <c r="G2090" s="9"/>
      <c r="H2090" s="9"/>
      <c r="I2090" s="27"/>
      <c r="J2090" s="28"/>
      <c r="K2090" s="39"/>
      <c r="L2090" s="17"/>
    </row>
    <row r="2091" spans="1:12" s="2" customFormat="1" ht="12" customHeight="1">
      <c r="A2091" s="4"/>
      <c r="B2091" s="6"/>
      <c r="C2091" s="4"/>
      <c r="D2091" s="6"/>
      <c r="E2091" s="7"/>
      <c r="F2091" s="8"/>
      <c r="G2091" s="9"/>
      <c r="H2091" s="9"/>
      <c r="I2091" s="27"/>
      <c r="J2091" s="28"/>
      <c r="K2091" s="39"/>
      <c r="L2091" s="17"/>
    </row>
    <row r="2092" spans="1:12" s="2" customFormat="1" ht="12" customHeight="1">
      <c r="A2092" s="4"/>
      <c r="B2092" s="6"/>
      <c r="C2092" s="4"/>
      <c r="D2092" s="6"/>
      <c r="E2092" s="7"/>
      <c r="F2092" s="8"/>
      <c r="G2092" s="9"/>
      <c r="H2092" s="9"/>
      <c r="I2092" s="27"/>
      <c r="J2092" s="28"/>
      <c r="K2092" s="39"/>
      <c r="L2092" s="17"/>
    </row>
    <row r="2093" spans="1:12" s="2" customFormat="1" ht="12" customHeight="1">
      <c r="A2093" s="4"/>
      <c r="B2093" s="6"/>
      <c r="C2093" s="4"/>
      <c r="D2093" s="6"/>
      <c r="E2093" s="7"/>
      <c r="F2093" s="8"/>
      <c r="G2093" s="9"/>
      <c r="H2093" s="9"/>
      <c r="I2093" s="27"/>
      <c r="J2093" s="28"/>
      <c r="K2093" s="39"/>
      <c r="L2093" s="17"/>
    </row>
    <row r="2094" spans="1:12" s="2" customFormat="1" ht="12" customHeight="1">
      <c r="A2094" s="4"/>
      <c r="B2094" s="6"/>
      <c r="C2094" s="4"/>
      <c r="D2094" s="6"/>
      <c r="E2094" s="7"/>
      <c r="F2094" s="8"/>
      <c r="G2094" s="9"/>
      <c r="H2094" s="9"/>
      <c r="I2094" s="27"/>
      <c r="J2094" s="28"/>
      <c r="K2094" s="39"/>
      <c r="L2094" s="17"/>
    </row>
    <row r="2095" spans="1:12" s="2" customFormat="1" ht="12" customHeight="1">
      <c r="A2095" s="4"/>
      <c r="B2095" s="6"/>
      <c r="C2095" s="4"/>
      <c r="D2095" s="6"/>
      <c r="E2095" s="7"/>
      <c r="F2095" s="8"/>
      <c r="G2095" s="9"/>
      <c r="H2095" s="9"/>
      <c r="I2095" s="27"/>
      <c r="J2095" s="28"/>
      <c r="K2095" s="39"/>
      <c r="L2095" s="17"/>
    </row>
    <row r="2096" spans="1:12" s="2" customFormat="1" ht="12" customHeight="1">
      <c r="A2096" s="4"/>
      <c r="B2096" s="6"/>
      <c r="C2096" s="4"/>
      <c r="D2096" s="6"/>
      <c r="E2096" s="7"/>
      <c r="F2096" s="8"/>
      <c r="G2096" s="9"/>
      <c r="H2096" s="9"/>
      <c r="I2096" s="27"/>
      <c r="J2096" s="28"/>
      <c r="K2096" s="39"/>
      <c r="L2096" s="17"/>
    </row>
    <row r="2097" spans="1:12" s="2" customFormat="1" ht="12" customHeight="1">
      <c r="A2097" s="4"/>
      <c r="B2097" s="6"/>
      <c r="C2097" s="4"/>
      <c r="D2097" s="6"/>
      <c r="E2097" s="7"/>
      <c r="F2097" s="8"/>
      <c r="G2097" s="9"/>
      <c r="H2097" s="9"/>
      <c r="I2097" s="27"/>
      <c r="J2097" s="28"/>
      <c r="K2097" s="39"/>
      <c r="L2097" s="17"/>
    </row>
    <row r="2098" spans="1:12" s="2" customFormat="1" ht="12" customHeight="1">
      <c r="A2098" s="4"/>
      <c r="B2098" s="6"/>
      <c r="C2098" s="4"/>
      <c r="D2098" s="6"/>
      <c r="E2098" s="7"/>
      <c r="F2098" s="8"/>
      <c r="G2098" s="9"/>
      <c r="H2098" s="9"/>
      <c r="I2098" s="27"/>
      <c r="J2098" s="28"/>
      <c r="K2098" s="39"/>
      <c r="L2098" s="17"/>
    </row>
    <row r="2099" spans="1:12" ht="12" customHeight="1">
      <c r="L2099" s="17"/>
    </row>
    <row r="2100" spans="1:12" ht="12" customHeight="1">
      <c r="L2100" s="17"/>
    </row>
    <row r="2101" spans="1:12" ht="12" customHeight="1">
      <c r="L2101" s="17"/>
    </row>
    <row r="2102" spans="1:12" ht="12" customHeight="1">
      <c r="L2102" s="17"/>
    </row>
    <row r="2103" spans="1:12" ht="12" customHeight="1">
      <c r="L2103" s="17"/>
    </row>
    <row r="2104" spans="1:12" ht="12" customHeight="1">
      <c r="L2104" s="17"/>
    </row>
    <row r="2105" spans="1:12" ht="12" customHeight="1">
      <c r="L2105" s="17"/>
    </row>
    <row r="2106" spans="1:12" ht="12" customHeight="1">
      <c r="L2106" s="17"/>
    </row>
    <row r="2107" spans="1:12" ht="12" customHeight="1">
      <c r="L2107" s="17"/>
    </row>
    <row r="2108" spans="1:12" ht="12" customHeight="1">
      <c r="L2108" s="17"/>
    </row>
    <row r="2109" spans="1:12" ht="12" customHeight="1">
      <c r="L2109" s="17"/>
    </row>
    <row r="2110" spans="1:12" ht="12" customHeight="1">
      <c r="L2110" s="17"/>
    </row>
    <row r="2111" spans="1:12" ht="12" customHeight="1">
      <c r="L2111" s="17"/>
    </row>
    <row r="2112" spans="1:12" ht="12" customHeight="1">
      <c r="L2112" s="17"/>
    </row>
    <row r="2113" spans="12:12" ht="12" customHeight="1">
      <c r="L2113" s="17"/>
    </row>
    <row r="2114" spans="12:12" ht="12" customHeight="1">
      <c r="L2114" s="17"/>
    </row>
    <row r="2115" spans="12:12" ht="12" customHeight="1">
      <c r="L2115" s="17"/>
    </row>
    <row r="2116" spans="12:12" ht="12" customHeight="1">
      <c r="L2116" s="17"/>
    </row>
    <row r="2117" spans="12:12" ht="12" customHeight="1">
      <c r="L2117" s="17"/>
    </row>
    <row r="2118" spans="12:12" ht="12" customHeight="1">
      <c r="L2118" s="17"/>
    </row>
    <row r="2119" spans="12:12" ht="12" customHeight="1">
      <c r="L2119" s="17"/>
    </row>
    <row r="2120" spans="12:12" ht="12" customHeight="1">
      <c r="L2120" s="17"/>
    </row>
    <row r="2121" spans="12:12" ht="12" customHeight="1">
      <c r="L2121" s="17"/>
    </row>
    <row r="2122" spans="12:12" ht="12" customHeight="1">
      <c r="L2122" s="17"/>
    </row>
    <row r="2123" spans="12:12" ht="12" customHeight="1">
      <c r="L2123" s="17"/>
    </row>
    <row r="2124" spans="12:12" ht="12" customHeight="1">
      <c r="L2124" s="17"/>
    </row>
    <row r="2125" spans="12:12" ht="12" customHeight="1">
      <c r="L2125" s="17"/>
    </row>
    <row r="2126" spans="12:12" ht="12" customHeight="1">
      <c r="L2126" s="17"/>
    </row>
    <row r="2127" spans="12:12" ht="12" customHeight="1">
      <c r="L2127" s="17"/>
    </row>
    <row r="2128" spans="12:12" ht="12" customHeight="1">
      <c r="L2128" s="17"/>
    </row>
    <row r="2129" spans="12:29" ht="12" customHeight="1">
      <c r="L2129" s="17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</row>
    <row r="2130" spans="12:29" ht="12" customHeight="1">
      <c r="L2130" s="17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</row>
    <row r="2131" spans="12:29" ht="12" customHeight="1">
      <c r="L2131" s="17"/>
    </row>
    <row r="2132" spans="12:29" ht="12" customHeight="1">
      <c r="L2132" s="17"/>
    </row>
    <row r="2133" spans="12:29" ht="12" customHeight="1">
      <c r="L2133" s="17"/>
    </row>
    <row r="2134" spans="12:29" ht="12" customHeight="1">
      <c r="L2134" s="17"/>
    </row>
    <row r="2135" spans="12:29" ht="12" customHeight="1">
      <c r="L2135" s="17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</row>
    <row r="2136" spans="12:29" ht="12" customHeight="1">
      <c r="L2136" s="17"/>
    </row>
    <row r="2137" spans="12:29" ht="12" customHeight="1">
      <c r="L2137" s="17"/>
    </row>
    <row r="2138" spans="12:29" ht="12" customHeight="1">
      <c r="L2138" s="17"/>
    </row>
    <row r="2139" spans="12:29" ht="12" customHeight="1">
      <c r="L2139" s="17"/>
    </row>
    <row r="2140" spans="12:29" ht="12" customHeight="1">
      <c r="L2140" s="16"/>
    </row>
    <row r="2141" spans="12:29" ht="12" customHeight="1">
      <c r="L2141" s="17"/>
    </row>
    <row r="2142" spans="12:29" ht="12" customHeight="1">
      <c r="L2142" s="16"/>
    </row>
    <row r="2143" spans="12:29" ht="12" customHeight="1">
      <c r="L2143" s="17"/>
    </row>
    <row r="2144" spans="12:29" ht="12" customHeight="1">
      <c r="L2144" s="16"/>
    </row>
    <row r="2145" spans="12:12" ht="12" customHeight="1">
      <c r="L2145" s="17"/>
    </row>
    <row r="2146" spans="12:12" ht="12" customHeight="1">
      <c r="L2146" s="17"/>
    </row>
    <row r="2147" spans="12:12" ht="12" customHeight="1">
      <c r="L2147" s="17"/>
    </row>
    <row r="2148" spans="12:12" ht="12" customHeight="1">
      <c r="L2148" s="17"/>
    </row>
    <row r="2149" spans="12:12" ht="12" customHeight="1">
      <c r="L2149" s="17"/>
    </row>
    <row r="2150" spans="12:12" ht="12" customHeight="1">
      <c r="L2150" s="17"/>
    </row>
    <row r="2151" spans="12:12" ht="12" customHeight="1">
      <c r="L2151" s="17"/>
    </row>
    <row r="2152" spans="12:12" ht="12" customHeight="1">
      <c r="L2152" s="17"/>
    </row>
    <row r="2153" spans="12:12" ht="12" customHeight="1">
      <c r="L2153" s="17"/>
    </row>
    <row r="2154" spans="12:12" ht="12" customHeight="1">
      <c r="L2154" s="17"/>
    </row>
    <row r="2155" spans="12:12" ht="12" customHeight="1">
      <c r="L2155" s="17"/>
    </row>
    <row r="2156" spans="12:12" ht="12" customHeight="1">
      <c r="L2156" s="17"/>
    </row>
    <row r="2157" spans="12:12" ht="12" customHeight="1">
      <c r="L2157" s="17"/>
    </row>
    <row r="2158" spans="12:12" ht="12" customHeight="1">
      <c r="L2158" s="17"/>
    </row>
    <row r="2159" spans="12:12" ht="12" customHeight="1">
      <c r="L2159" s="17"/>
    </row>
    <row r="2160" spans="12:12" ht="12" customHeight="1">
      <c r="L2160" s="17"/>
    </row>
    <row r="2161" spans="1:12" ht="12" customHeight="1">
      <c r="L2161" s="17"/>
    </row>
    <row r="2162" spans="1:12" ht="12" customHeight="1">
      <c r="A2162" s="13"/>
      <c r="L2162" s="17"/>
    </row>
    <row r="2163" spans="1:12" ht="12" customHeight="1">
      <c r="L2163" s="17"/>
    </row>
    <row r="2164" spans="1:12" ht="12" customHeight="1">
      <c r="L2164" s="17"/>
    </row>
    <row r="2165" spans="1:12" ht="12" customHeight="1">
      <c r="L2165" s="17"/>
    </row>
    <row r="2166" spans="1:12" ht="12" customHeight="1">
      <c r="L2166" s="17"/>
    </row>
    <row r="2167" spans="1:12" ht="12" customHeight="1">
      <c r="L2167" s="17"/>
    </row>
    <row r="2168" spans="1:12" ht="12" customHeight="1">
      <c r="L2168" s="17"/>
    </row>
    <row r="2169" spans="1:12" ht="12" customHeight="1">
      <c r="L2169" s="17"/>
    </row>
    <row r="2170" spans="1:12" ht="12" customHeight="1">
      <c r="L2170" s="17"/>
    </row>
    <row r="2171" spans="1:12" ht="12" customHeight="1">
      <c r="A2171" s="13"/>
      <c r="L2171" s="17"/>
    </row>
    <row r="2172" spans="1:12" ht="12" customHeight="1">
      <c r="L2172" s="17"/>
    </row>
    <row r="2173" spans="1:12" ht="12" customHeight="1">
      <c r="L2173" s="17"/>
    </row>
    <row r="2174" spans="1:12" ht="12" customHeight="1">
      <c r="A2174" s="5"/>
      <c r="L2174" s="17"/>
    </row>
    <row r="2175" spans="1:12" ht="12" customHeight="1">
      <c r="L2175" s="17"/>
    </row>
    <row r="2176" spans="1:12" ht="12" customHeight="1">
      <c r="A2176" s="5"/>
      <c r="L2176" s="17"/>
    </row>
    <row r="2177" spans="1:12" ht="12" customHeight="1">
      <c r="A2177" s="13"/>
      <c r="L2177" s="17"/>
    </row>
    <row r="2178" spans="1:12" ht="12" customHeight="1">
      <c r="A2178" s="5"/>
      <c r="L2178" s="17"/>
    </row>
    <row r="2179" spans="1:12" ht="12" customHeight="1">
      <c r="L2179" s="17"/>
    </row>
    <row r="2180" spans="1:12" ht="12" customHeight="1">
      <c r="L2180" s="17"/>
    </row>
    <row r="2181" spans="1:12" ht="12" customHeight="1">
      <c r="L2181" s="17"/>
    </row>
    <row r="2182" spans="1:12" ht="12" customHeight="1">
      <c r="L2182" s="17"/>
    </row>
    <row r="2183" spans="1:12" ht="12" customHeight="1">
      <c r="L2183" s="17"/>
    </row>
    <row r="2184" spans="1:12" ht="12" customHeight="1">
      <c r="L2184" s="17"/>
    </row>
    <row r="2185" spans="1:12" ht="12" customHeight="1">
      <c r="L2185" s="17"/>
    </row>
    <row r="2186" spans="1:12" ht="12" customHeight="1">
      <c r="L2186" s="17"/>
    </row>
    <row r="2187" spans="1:12" ht="12" customHeight="1">
      <c r="L2187" s="17"/>
    </row>
    <row r="2188" spans="1:12" ht="12" customHeight="1">
      <c r="L2188" s="17"/>
    </row>
    <row r="2189" spans="1:12" ht="12" customHeight="1">
      <c r="L2189" s="17"/>
    </row>
    <row r="2190" spans="1:12" ht="12" customHeight="1">
      <c r="L2190" s="17"/>
    </row>
    <row r="2191" spans="1:12" ht="12" customHeight="1">
      <c r="L2191" s="17"/>
    </row>
    <row r="2192" spans="1:12" ht="12" customHeight="1">
      <c r="L2192" s="17"/>
    </row>
    <row r="2193" spans="1:29" ht="12" customHeight="1">
      <c r="L2193" s="17"/>
    </row>
    <row r="2194" spans="1:29" ht="12" customHeight="1">
      <c r="L2194" s="17"/>
    </row>
    <row r="2195" spans="1:29" ht="12" customHeight="1">
      <c r="L2195" s="17"/>
    </row>
    <row r="2196" spans="1:29" ht="12" customHeight="1">
      <c r="L2196" s="17"/>
    </row>
    <row r="2197" spans="1:29" ht="12" customHeight="1">
      <c r="L2197" s="17"/>
    </row>
    <row r="2198" spans="1:29" ht="12" customHeight="1">
      <c r="L2198" s="17"/>
    </row>
    <row r="2199" spans="1:29" ht="12" customHeight="1">
      <c r="L2199" s="17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</row>
    <row r="2200" spans="1:29" ht="12" customHeight="1">
      <c r="L2200" s="17"/>
    </row>
    <row r="2201" spans="1:29" ht="12" customHeight="1">
      <c r="L2201" s="17"/>
    </row>
    <row r="2202" spans="1:29" ht="12" customHeight="1">
      <c r="L2202" s="17"/>
    </row>
    <row r="2203" spans="1:29" ht="12" customHeight="1">
      <c r="L2203" s="17"/>
    </row>
    <row r="2204" spans="1:29" ht="12" customHeight="1">
      <c r="L2204" s="17"/>
    </row>
    <row r="2205" spans="1:29" ht="12" customHeight="1">
      <c r="L2205" s="17"/>
    </row>
    <row r="2206" spans="1:29" ht="12" customHeight="1">
      <c r="L2206" s="17"/>
    </row>
    <row r="2207" spans="1:29" ht="12" customHeight="1">
      <c r="L2207" s="17"/>
    </row>
    <row r="2208" spans="1:29" ht="12" customHeight="1">
      <c r="A2208" s="13"/>
      <c r="L2208" s="17"/>
    </row>
    <row r="2209" spans="1:29" ht="12" customHeight="1">
      <c r="L2209" s="17"/>
    </row>
    <row r="2210" spans="1:29" ht="12" customHeight="1">
      <c r="L2210" s="17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</row>
    <row r="2211" spans="1:29" ht="12" customHeight="1">
      <c r="L2211" s="17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</row>
    <row r="2212" spans="1:29" ht="12" customHeight="1">
      <c r="L2212" s="17"/>
    </row>
    <row r="2213" spans="1:29" ht="12" customHeight="1">
      <c r="A2213" s="13"/>
      <c r="L2213" s="17"/>
    </row>
    <row r="2214" spans="1:29" ht="12" customHeight="1">
      <c r="L2214" s="16"/>
    </row>
    <row r="2215" spans="1:29" ht="12" customHeight="1">
      <c r="L2215" s="17"/>
    </row>
    <row r="2216" spans="1:29" ht="12" customHeight="1">
      <c r="L2216" s="17"/>
    </row>
    <row r="2217" spans="1:29" ht="12" customHeight="1">
      <c r="L2217" s="17"/>
    </row>
    <row r="2218" spans="1:29" ht="12" customHeight="1">
      <c r="L2218" s="17"/>
    </row>
    <row r="2219" spans="1:29" ht="12" customHeight="1">
      <c r="L2219" s="16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</row>
    <row r="2220" spans="1:29" ht="12" customHeight="1">
      <c r="L2220" s="17"/>
    </row>
    <row r="2221" spans="1:29" ht="12" customHeight="1">
      <c r="L2221" s="17"/>
    </row>
    <row r="2222" spans="1:29" ht="12" customHeight="1">
      <c r="L2222" s="17"/>
    </row>
    <row r="2223" spans="1:29" ht="12" customHeight="1">
      <c r="L2223" s="17"/>
    </row>
    <row r="2224" spans="1:29" ht="12" customHeight="1">
      <c r="L2224" s="17"/>
    </row>
    <row r="2225" spans="1:29" ht="12" customHeight="1">
      <c r="L2225" s="17"/>
    </row>
    <row r="2226" spans="1:29" ht="12" customHeight="1">
      <c r="L2226" s="17"/>
    </row>
    <row r="2227" spans="1:29" ht="12" customHeight="1">
      <c r="L2227" s="17"/>
    </row>
    <row r="2228" spans="1:29" ht="12" customHeight="1">
      <c r="L2228" s="17"/>
    </row>
    <row r="2229" spans="1:29" ht="12" customHeight="1">
      <c r="L2229" s="17"/>
    </row>
    <row r="2230" spans="1:29" ht="12" customHeight="1">
      <c r="L2230" s="17"/>
    </row>
    <row r="2231" spans="1:29" ht="12" customHeight="1">
      <c r="L2231" s="17"/>
    </row>
    <row r="2232" spans="1:29" ht="12" customHeight="1">
      <c r="L2232" s="17"/>
    </row>
    <row r="2233" spans="1:29" ht="12" customHeight="1">
      <c r="L2233" s="17"/>
    </row>
    <row r="2234" spans="1:29" s="13" customFormat="1" ht="12" customHeight="1">
      <c r="A2234" s="4"/>
      <c r="B2234" s="6"/>
      <c r="C2234" s="4"/>
      <c r="D2234" s="6"/>
      <c r="E2234" s="7"/>
      <c r="F2234" s="8"/>
      <c r="G2234" s="9"/>
      <c r="H2234" s="9"/>
      <c r="I2234" s="27"/>
      <c r="J2234" s="28"/>
      <c r="K2234" s="39"/>
      <c r="L2234" s="17"/>
    </row>
    <row r="2235" spans="1:29" ht="12" customHeight="1">
      <c r="L2235" s="17"/>
    </row>
    <row r="2236" spans="1:29" ht="12" customHeight="1">
      <c r="L2236" s="17"/>
    </row>
    <row r="2237" spans="1:29" ht="12" customHeight="1">
      <c r="L2237" s="17"/>
    </row>
    <row r="2238" spans="1:29" ht="12" customHeight="1">
      <c r="L2238" s="17"/>
    </row>
    <row r="2239" spans="1:29" ht="12" customHeight="1">
      <c r="L2239" s="17"/>
    </row>
    <row r="2240" spans="1:29" ht="12" customHeight="1">
      <c r="L2240" s="17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</row>
    <row r="2241" spans="1:29" ht="12" customHeight="1">
      <c r="L2241" s="17"/>
    </row>
    <row r="2242" spans="1:29" ht="12" customHeight="1">
      <c r="L2242" s="17"/>
    </row>
    <row r="2243" spans="1:29" s="13" customFormat="1" ht="12" customHeight="1">
      <c r="A2243" s="4"/>
      <c r="B2243" s="6"/>
      <c r="C2243" s="4"/>
      <c r="D2243" s="6"/>
      <c r="E2243" s="7"/>
      <c r="F2243" s="8"/>
      <c r="G2243" s="9"/>
      <c r="H2243" s="9"/>
      <c r="I2243" s="27"/>
      <c r="J2243" s="28"/>
      <c r="K2243" s="39"/>
      <c r="L2243" s="17"/>
    </row>
    <row r="2244" spans="1:29" ht="12" customHeight="1">
      <c r="L2244" s="17"/>
    </row>
    <row r="2245" spans="1:29" ht="12" customHeight="1">
      <c r="L2245" s="17"/>
    </row>
    <row r="2246" spans="1:29" s="5" customFormat="1" ht="12" customHeight="1">
      <c r="A2246" s="4"/>
      <c r="B2246" s="6"/>
      <c r="C2246" s="4"/>
      <c r="D2246" s="6"/>
      <c r="E2246" s="7"/>
      <c r="F2246" s="8"/>
      <c r="G2246" s="9"/>
      <c r="H2246" s="9"/>
      <c r="I2246" s="27"/>
      <c r="J2246" s="28"/>
      <c r="K2246" s="39"/>
      <c r="L2246" s="17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</row>
    <row r="2247" spans="1:29" ht="12" customHeight="1">
      <c r="L2247" s="17"/>
    </row>
    <row r="2248" spans="1:29" s="5" customFormat="1" ht="12" customHeight="1">
      <c r="B2248" s="6"/>
      <c r="C2248" s="4"/>
      <c r="D2248" s="6"/>
      <c r="E2248" s="7"/>
      <c r="F2248" s="8"/>
      <c r="G2248" s="9"/>
      <c r="H2248" s="9"/>
      <c r="I2248" s="27"/>
      <c r="J2248" s="28"/>
      <c r="K2248" s="39"/>
      <c r="L2248" s="17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</row>
    <row r="2249" spans="1:29" s="13" customFormat="1" ht="12" customHeight="1">
      <c r="A2249" s="4"/>
      <c r="B2249" s="6"/>
      <c r="C2249" s="4"/>
      <c r="D2249" s="6"/>
      <c r="E2249" s="7"/>
      <c r="F2249" s="8"/>
      <c r="G2249" s="9"/>
      <c r="H2249" s="9"/>
      <c r="I2249" s="27"/>
      <c r="J2249" s="28"/>
      <c r="K2249" s="39"/>
      <c r="L2249" s="17"/>
    </row>
    <row r="2250" spans="1:29" s="5" customFormat="1" ht="12" customHeight="1">
      <c r="A2250" s="4"/>
      <c r="B2250" s="6"/>
      <c r="C2250" s="4"/>
      <c r="D2250" s="6"/>
      <c r="E2250" s="7"/>
      <c r="F2250" s="8"/>
      <c r="G2250" s="9"/>
      <c r="H2250" s="9"/>
      <c r="I2250" s="27"/>
      <c r="J2250" s="28"/>
      <c r="K2250" s="39"/>
      <c r="L2250" s="17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</row>
    <row r="2251" spans="1:29" ht="12" customHeight="1">
      <c r="A2251" s="13"/>
      <c r="L2251" s="17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</row>
    <row r="2252" spans="1:29" ht="12" customHeight="1">
      <c r="L2252" s="17"/>
    </row>
    <row r="2253" spans="1:29" ht="12" customHeight="1">
      <c r="A2253" s="5"/>
      <c r="L2253" s="17"/>
    </row>
    <row r="2254" spans="1:29" ht="12" customHeight="1">
      <c r="L2254" s="17"/>
    </row>
    <row r="2255" spans="1:29" ht="12" customHeight="1">
      <c r="L2255" s="17"/>
    </row>
    <row r="2256" spans="1:29" ht="12" customHeight="1">
      <c r="L2256" s="17"/>
    </row>
    <row r="2257" spans="12:12" ht="12" customHeight="1">
      <c r="L2257" s="17"/>
    </row>
    <row r="2258" spans="12:12" ht="12" customHeight="1">
      <c r="L2258" s="17"/>
    </row>
    <row r="2259" spans="12:12" ht="12" customHeight="1">
      <c r="L2259" s="17"/>
    </row>
    <row r="2260" spans="12:12" ht="12" customHeight="1">
      <c r="L2260" s="17"/>
    </row>
    <row r="2261" spans="12:12" ht="12" customHeight="1">
      <c r="L2261" s="17"/>
    </row>
    <row r="2262" spans="12:12" ht="12" customHeight="1">
      <c r="L2262" s="17"/>
    </row>
    <row r="2263" spans="12:12" ht="12" customHeight="1">
      <c r="L2263" s="17"/>
    </row>
    <row r="2264" spans="12:12" ht="12" customHeight="1">
      <c r="L2264" s="17"/>
    </row>
    <row r="2265" spans="12:12" ht="12" customHeight="1">
      <c r="L2265" s="17"/>
    </row>
    <row r="2266" spans="12:12" ht="12" customHeight="1">
      <c r="L2266" s="17"/>
    </row>
    <row r="2267" spans="12:12" ht="12" customHeight="1">
      <c r="L2267" s="17"/>
    </row>
    <row r="2268" spans="12:12" ht="12" customHeight="1">
      <c r="L2268" s="17"/>
    </row>
    <row r="2269" spans="12:12" ht="12" customHeight="1">
      <c r="L2269" s="17"/>
    </row>
    <row r="2270" spans="12:12" ht="12" customHeight="1">
      <c r="L2270" s="17"/>
    </row>
    <row r="2271" spans="12:12" ht="12" customHeight="1">
      <c r="L2271" s="17"/>
    </row>
    <row r="2272" spans="12:12" ht="12" customHeight="1">
      <c r="L2272" s="17"/>
    </row>
    <row r="2273" spans="1:29" customFormat="1" ht="12" customHeight="1">
      <c r="A2273" s="4"/>
      <c r="B2273" s="6"/>
      <c r="C2273" s="4"/>
      <c r="D2273" s="6"/>
      <c r="E2273" s="7"/>
      <c r="F2273" s="8"/>
      <c r="G2273" s="9"/>
      <c r="H2273" s="9"/>
      <c r="I2273" s="27"/>
      <c r="J2273" s="28"/>
      <c r="K2273" s="39"/>
      <c r="L2273" s="17"/>
    </row>
    <row r="2274" spans="1:29" ht="12" customHeight="1">
      <c r="L2274" s="17"/>
    </row>
    <row r="2275" spans="1:29" ht="12" customHeight="1">
      <c r="L2275" s="17"/>
    </row>
    <row r="2276" spans="1:29" ht="12" customHeight="1">
      <c r="L2276" s="17"/>
    </row>
    <row r="2277" spans="1:29" ht="12" customHeight="1">
      <c r="L2277" s="17"/>
    </row>
    <row r="2278" spans="1:29" ht="12" customHeight="1">
      <c r="L2278" s="17"/>
    </row>
    <row r="2279" spans="1:29" ht="12" customHeight="1">
      <c r="L2279" s="17"/>
    </row>
    <row r="2280" spans="1:29" s="13" customFormat="1" ht="12" customHeight="1">
      <c r="A2280" s="4"/>
      <c r="B2280" s="6"/>
      <c r="C2280" s="4"/>
      <c r="D2280" s="6"/>
      <c r="E2280" s="7"/>
      <c r="F2280" s="8"/>
      <c r="G2280" s="9"/>
      <c r="H2280" s="9"/>
      <c r="I2280" s="27"/>
      <c r="J2280" s="28"/>
      <c r="K2280" s="39"/>
      <c r="L2280" s="17"/>
    </row>
    <row r="2281" spans="1:29" ht="12" customHeight="1">
      <c r="L2281" s="17"/>
    </row>
    <row r="2282" spans="1:29" ht="12" customHeight="1">
      <c r="L2282" s="17"/>
    </row>
    <row r="2283" spans="1:29" ht="12" customHeight="1">
      <c r="L2283" s="17"/>
    </row>
    <row r="2284" spans="1:29" ht="12" customHeight="1">
      <c r="L2284" s="17"/>
    </row>
    <row r="2285" spans="1:29" s="13" customFormat="1" ht="12" customHeight="1">
      <c r="A2285" s="4"/>
      <c r="B2285" s="6"/>
      <c r="C2285" s="4"/>
      <c r="D2285" s="6"/>
      <c r="E2285" s="7"/>
      <c r="F2285" s="8"/>
      <c r="G2285" s="9"/>
      <c r="H2285" s="9"/>
      <c r="I2285" s="27"/>
      <c r="J2285" s="28"/>
      <c r="K2285" s="39"/>
      <c r="L2285" s="17"/>
    </row>
    <row r="2286" spans="1:29" ht="12" customHeight="1">
      <c r="L2286" s="17"/>
    </row>
    <row r="2287" spans="1:29" ht="12" customHeight="1">
      <c r="L2287" s="17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</row>
    <row r="2288" spans="1:29" ht="12" customHeight="1">
      <c r="L2288" s="17"/>
    </row>
    <row r="2289" spans="12:29" ht="12" customHeight="1">
      <c r="L2289" s="17"/>
    </row>
    <row r="2290" spans="12:29" ht="12" customHeight="1">
      <c r="L2290" s="17"/>
    </row>
    <row r="2291" spans="12:29" ht="12" customHeight="1">
      <c r="L2291" s="17"/>
    </row>
    <row r="2292" spans="12:29" ht="12" customHeight="1">
      <c r="L2292" s="17"/>
    </row>
    <row r="2293" spans="12:29" ht="12" customHeight="1">
      <c r="L2293" s="17"/>
    </row>
    <row r="2294" spans="12:29" ht="12" customHeight="1">
      <c r="L2294" s="17"/>
    </row>
    <row r="2295" spans="12:29" ht="12" customHeight="1">
      <c r="L2295" s="17"/>
    </row>
    <row r="2296" spans="12:29" ht="12" customHeight="1">
      <c r="L2296" s="17"/>
    </row>
    <row r="2297" spans="12:29" ht="12" customHeight="1">
      <c r="L2297" s="17"/>
    </row>
    <row r="2298" spans="12:29" ht="12" customHeight="1">
      <c r="L2298" s="17"/>
    </row>
    <row r="2299" spans="12:29" ht="12" customHeight="1">
      <c r="L2299" s="17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</row>
    <row r="2300" spans="12:29" ht="12" customHeight="1">
      <c r="L2300" s="17"/>
    </row>
    <row r="2301" spans="12:29" ht="12" customHeight="1">
      <c r="L2301" s="17"/>
    </row>
    <row r="2302" spans="12:29" ht="12" customHeight="1">
      <c r="L2302" s="17"/>
    </row>
    <row r="2303" spans="12:29" ht="12" customHeight="1">
      <c r="L2303" s="17"/>
    </row>
    <row r="2304" spans="12:29" ht="12" customHeight="1">
      <c r="L2304" s="17"/>
    </row>
    <row r="2305" spans="1:29" ht="12" customHeight="1">
      <c r="L2305" s="17"/>
    </row>
    <row r="2306" spans="1:29" ht="12" customHeight="1">
      <c r="L2306" s="17"/>
    </row>
    <row r="2307" spans="1:29" ht="12" customHeight="1">
      <c r="L2307" s="17"/>
    </row>
    <row r="2308" spans="1:29" ht="12" customHeight="1">
      <c r="L2308" s="17"/>
    </row>
    <row r="2309" spans="1:29" ht="12" customHeight="1">
      <c r="L2309" s="17"/>
    </row>
    <row r="2310" spans="1:29" ht="12" customHeight="1">
      <c r="L2310" s="17"/>
    </row>
    <row r="2311" spans="1:29" ht="12" customHeight="1">
      <c r="L2311" s="17"/>
    </row>
    <row r="2312" spans="1:29" ht="12" customHeight="1">
      <c r="L2312" s="17"/>
    </row>
    <row r="2313" spans="1:29" ht="12" customHeight="1">
      <c r="L2313" s="17"/>
    </row>
    <row r="2314" spans="1:29" ht="12" customHeight="1">
      <c r="L2314" s="17"/>
    </row>
    <row r="2315" spans="1:29" ht="12" customHeight="1">
      <c r="L2315" s="17"/>
    </row>
    <row r="2316" spans="1:29" ht="12" customHeight="1">
      <c r="L2316" s="17"/>
    </row>
    <row r="2317" spans="1:29" ht="12" customHeight="1">
      <c r="L2317" s="17"/>
    </row>
    <row r="2318" spans="1:29" ht="12" customHeight="1">
      <c r="L2318" s="17"/>
    </row>
    <row r="2319" spans="1:29" ht="12" customHeight="1">
      <c r="L2319" s="17"/>
    </row>
    <row r="2320" spans="1:29" s="5" customFormat="1" ht="12" customHeight="1">
      <c r="A2320" s="4"/>
      <c r="B2320" s="6"/>
      <c r="C2320" s="4"/>
      <c r="D2320" s="6"/>
      <c r="E2320" s="7"/>
      <c r="F2320" s="8"/>
      <c r="G2320" s="9"/>
      <c r="H2320" s="9"/>
      <c r="I2320" s="27"/>
      <c r="J2320" s="28"/>
      <c r="K2320" s="39"/>
      <c r="L2320" s="17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</row>
    <row r="2321" spans="1:29" ht="12" customHeight="1">
      <c r="L2321" s="17"/>
    </row>
    <row r="2322" spans="1:29" ht="12" customHeight="1">
      <c r="L2322" s="17"/>
    </row>
    <row r="2323" spans="1:29" s="13" customFormat="1" ht="12" customHeight="1">
      <c r="A2323" s="4"/>
      <c r="B2323" s="6"/>
      <c r="C2323" s="4"/>
      <c r="D2323" s="6"/>
      <c r="E2323" s="7"/>
      <c r="F2323" s="8"/>
      <c r="G2323" s="9"/>
      <c r="H2323" s="9"/>
      <c r="I2323" s="27"/>
      <c r="J2323" s="28"/>
      <c r="K2323" s="39"/>
      <c r="L2323" s="17"/>
    </row>
    <row r="2324" spans="1:29" customFormat="1" ht="12" customHeight="1">
      <c r="A2324" s="4"/>
      <c r="B2324" s="6"/>
      <c r="C2324" s="4"/>
      <c r="D2324" s="6"/>
      <c r="E2324" s="7"/>
      <c r="F2324" s="8"/>
      <c r="G2324" s="9"/>
      <c r="H2324" s="9"/>
      <c r="I2324" s="27"/>
      <c r="J2324" s="28"/>
      <c r="K2324" s="39"/>
      <c r="L2324" s="17"/>
    </row>
    <row r="2325" spans="1:29" s="5" customFormat="1" ht="12" customHeight="1">
      <c r="A2325" s="4"/>
      <c r="B2325" s="6"/>
      <c r="C2325" s="4"/>
      <c r="D2325" s="6"/>
      <c r="E2325" s="7"/>
      <c r="F2325" s="8"/>
      <c r="G2325" s="9"/>
      <c r="H2325" s="9"/>
      <c r="I2325" s="27"/>
      <c r="J2325" s="28"/>
      <c r="K2325" s="39"/>
      <c r="L2325" s="17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</row>
    <row r="2326" spans="1:29" ht="12" customHeight="1">
      <c r="L2326" s="17"/>
    </row>
    <row r="2327" spans="1:29" ht="12" customHeight="1">
      <c r="L2327" s="17"/>
    </row>
    <row r="2328" spans="1:29" ht="12" customHeight="1">
      <c r="L2328" s="17"/>
    </row>
    <row r="2329" spans="1:29" ht="12" customHeight="1">
      <c r="L2329" s="17"/>
    </row>
    <row r="2330" spans="1:29" ht="12" customHeight="1">
      <c r="L2330" s="17"/>
    </row>
    <row r="2331" spans="1:29" ht="12" customHeight="1">
      <c r="L2331" s="17"/>
    </row>
    <row r="2332" spans="1:29" ht="12" customHeight="1">
      <c r="L2332" s="17"/>
    </row>
    <row r="2333" spans="1:29" ht="12" customHeight="1">
      <c r="L2333" s="17"/>
    </row>
    <row r="2334" spans="1:29" ht="12" customHeight="1">
      <c r="L2334" s="17"/>
    </row>
    <row r="2335" spans="1:29" ht="12" customHeight="1">
      <c r="L2335" s="17"/>
    </row>
    <row r="2336" spans="1:29" ht="12" customHeight="1">
      <c r="L2336" s="17"/>
    </row>
    <row r="2337" spans="1:29" ht="12" customHeight="1">
      <c r="L2337" s="17"/>
    </row>
    <row r="2338" spans="1:29" ht="12" customHeight="1">
      <c r="L2338" s="17"/>
    </row>
    <row r="2339" spans="1:29" ht="12" customHeight="1">
      <c r="L2339" s="17"/>
    </row>
    <row r="2340" spans="1:29" ht="12" customHeight="1">
      <c r="L2340" s="17"/>
    </row>
    <row r="2341" spans="1:29" ht="12" customHeight="1">
      <c r="L2341" s="17"/>
    </row>
    <row r="2342" spans="1:29" ht="12" customHeight="1">
      <c r="L2342" s="17"/>
    </row>
    <row r="2343" spans="1:29" ht="12" customHeight="1">
      <c r="L2343" s="17"/>
    </row>
    <row r="2344" spans="1:29" ht="12" customHeight="1">
      <c r="L2344" s="17"/>
    </row>
    <row r="2345" spans="1:29" ht="12" customHeight="1">
      <c r="L2345" s="17"/>
    </row>
    <row r="2346" spans="1:29" ht="12" customHeight="1">
      <c r="L2346" s="17"/>
    </row>
    <row r="2347" spans="1:29" ht="12" customHeight="1">
      <c r="L2347" s="17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</row>
    <row r="2348" spans="1:29" ht="12" customHeight="1">
      <c r="L2348" s="17"/>
    </row>
    <row r="2349" spans="1:29" ht="12" customHeight="1">
      <c r="L2349" s="17"/>
    </row>
    <row r="2350" spans="1:29" ht="12" customHeight="1">
      <c r="L2350" s="17"/>
    </row>
    <row r="2351" spans="1:29" customFormat="1" ht="12" customHeight="1">
      <c r="A2351" s="4"/>
      <c r="B2351" s="6"/>
      <c r="C2351" s="4"/>
      <c r="D2351" s="6"/>
      <c r="E2351" s="7"/>
      <c r="F2351" s="8"/>
      <c r="G2351" s="9"/>
      <c r="H2351" s="9"/>
      <c r="I2351" s="27"/>
      <c r="J2351" s="28"/>
      <c r="K2351" s="39"/>
      <c r="L2351" s="17"/>
    </row>
    <row r="2352" spans="1:29" ht="12" customHeight="1">
      <c r="L2352" s="17"/>
    </row>
    <row r="2353" spans="12:29" ht="12" customHeight="1">
      <c r="L2353" s="17"/>
    </row>
    <row r="2354" spans="12:29" ht="12" customHeight="1">
      <c r="L2354" s="17"/>
    </row>
    <row r="2355" spans="12:29" ht="12" customHeight="1">
      <c r="L2355" s="17"/>
    </row>
    <row r="2356" spans="12:29" ht="12" customHeight="1">
      <c r="L2356" s="17"/>
    </row>
    <row r="2357" spans="12:29" ht="12" customHeight="1">
      <c r="L2357" s="17"/>
    </row>
    <row r="2358" spans="12:29" ht="12" customHeight="1">
      <c r="L2358" s="17"/>
    </row>
    <row r="2359" spans="12:29" ht="12" customHeight="1">
      <c r="L2359" s="17"/>
    </row>
    <row r="2360" spans="12:29" ht="12" customHeight="1">
      <c r="L2360" s="17"/>
    </row>
    <row r="2361" spans="12:29" ht="12" customHeight="1">
      <c r="L2361" s="17"/>
    </row>
    <row r="2362" spans="12:29" ht="12" customHeight="1">
      <c r="L2362" s="17"/>
    </row>
    <row r="2363" spans="12:29" ht="12" customHeight="1">
      <c r="L2363" s="17"/>
    </row>
    <row r="2364" spans="12:29" ht="12" customHeight="1">
      <c r="L2364" s="17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</row>
    <row r="2365" spans="12:29" ht="12" customHeight="1">
      <c r="L2365" s="17"/>
    </row>
    <row r="2366" spans="12:29" ht="12" customHeight="1">
      <c r="L2366" s="17"/>
    </row>
    <row r="2367" spans="12:29" ht="12" customHeight="1">
      <c r="L2367" s="17"/>
    </row>
    <row r="2368" spans="12:29" ht="12" customHeight="1">
      <c r="L2368" s="17"/>
    </row>
    <row r="2369" spans="12:12" ht="12" customHeight="1">
      <c r="L2369" s="17"/>
    </row>
    <row r="2370" spans="12:12" ht="12" customHeight="1">
      <c r="L2370" s="17"/>
    </row>
    <row r="2371" spans="12:12" ht="12" customHeight="1">
      <c r="L2371" s="17"/>
    </row>
    <row r="2372" spans="12:12" ht="12" customHeight="1">
      <c r="L2372" s="17"/>
    </row>
    <row r="2373" spans="12:12" ht="12" customHeight="1">
      <c r="L2373" s="17"/>
    </row>
    <row r="2374" spans="12:12" ht="12" customHeight="1">
      <c r="L2374" s="17"/>
    </row>
    <row r="2375" spans="12:12" ht="12" customHeight="1">
      <c r="L2375" s="17"/>
    </row>
    <row r="2376" spans="12:12" ht="12" customHeight="1">
      <c r="L2376" s="17"/>
    </row>
    <row r="2377" spans="12:12" ht="12" customHeight="1">
      <c r="L2377" s="17"/>
    </row>
    <row r="2378" spans="12:12" ht="12" customHeight="1">
      <c r="L2378" s="17"/>
    </row>
    <row r="2379" spans="12:12" ht="12" customHeight="1">
      <c r="L2379" s="17"/>
    </row>
    <row r="2380" spans="12:12" ht="12" customHeight="1">
      <c r="L2380" s="17"/>
    </row>
    <row r="2381" spans="12:12" ht="12" customHeight="1">
      <c r="L2381" s="17"/>
    </row>
    <row r="2382" spans="12:12" ht="12" customHeight="1">
      <c r="L2382" s="17"/>
    </row>
    <row r="2383" spans="12:12" ht="12" customHeight="1">
      <c r="L2383" s="17"/>
    </row>
    <row r="2384" spans="12:12" ht="12" customHeight="1">
      <c r="L2384" s="17"/>
    </row>
    <row r="2385" spans="12:29" ht="12" customHeight="1">
      <c r="L2385" s="17"/>
    </row>
    <row r="2386" spans="12:29" ht="12" customHeight="1">
      <c r="L2386" s="17"/>
    </row>
    <row r="2387" spans="12:29" ht="12" customHeight="1">
      <c r="L2387" s="17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</row>
    <row r="2388" spans="12:29" ht="12" customHeight="1">
      <c r="L2388" s="17"/>
    </row>
    <row r="2389" spans="12:29" ht="12" customHeight="1">
      <c r="L2389" s="17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</row>
    <row r="2390" spans="12:29" ht="12" customHeight="1">
      <c r="L2390" s="17"/>
    </row>
    <row r="2391" spans="12:29" ht="12" customHeight="1">
      <c r="L2391" s="17"/>
    </row>
    <row r="2392" spans="12:29" ht="12" customHeight="1">
      <c r="L2392" s="17"/>
    </row>
    <row r="2393" spans="12:29" ht="12" customHeight="1">
      <c r="L2393" s="17"/>
    </row>
    <row r="2394" spans="12:29" ht="12" customHeight="1">
      <c r="L2394" s="17"/>
    </row>
    <row r="2395" spans="12:29" ht="12" customHeight="1">
      <c r="L2395" s="17"/>
    </row>
    <row r="2396" spans="12:29" ht="12" customHeight="1">
      <c r="L2396" s="17"/>
    </row>
    <row r="2397" spans="12:29" ht="12" customHeight="1">
      <c r="L2397" s="17"/>
    </row>
    <row r="2398" spans="12:29" ht="12" customHeight="1">
      <c r="L2398" s="17"/>
    </row>
    <row r="2399" spans="12:29" ht="12" customHeight="1">
      <c r="L2399" s="17"/>
    </row>
    <row r="2400" spans="12:29" ht="12" customHeight="1">
      <c r="L2400" s="17"/>
    </row>
    <row r="2401" spans="12:12" ht="12" customHeight="1">
      <c r="L2401" s="17"/>
    </row>
    <row r="2402" spans="12:12" ht="12" customHeight="1">
      <c r="L2402" s="17"/>
    </row>
    <row r="2403" spans="12:12" ht="12" customHeight="1">
      <c r="L2403" s="17"/>
    </row>
    <row r="2404" spans="12:12" ht="12" customHeight="1">
      <c r="L2404" s="17"/>
    </row>
    <row r="2405" spans="12:12" ht="12" customHeight="1">
      <c r="L2405" s="17"/>
    </row>
    <row r="2406" spans="12:12" ht="12" customHeight="1">
      <c r="L2406" s="16"/>
    </row>
    <row r="2407" spans="12:12" ht="12" customHeight="1">
      <c r="L2407" s="16"/>
    </row>
    <row r="2408" spans="12:12" ht="12" customHeight="1">
      <c r="L2408" s="16"/>
    </row>
    <row r="2409" spans="12:12" ht="12" customHeight="1">
      <c r="L2409" s="16"/>
    </row>
    <row r="2410" spans="12:12" ht="12" customHeight="1">
      <c r="L2410" s="16"/>
    </row>
    <row r="2411" spans="12:12" ht="12" customHeight="1">
      <c r="L2411" s="16"/>
    </row>
    <row r="2412" spans="12:12" ht="12" customHeight="1">
      <c r="L2412" s="17"/>
    </row>
    <row r="2413" spans="12:12" ht="12" customHeight="1">
      <c r="L2413" s="17"/>
    </row>
    <row r="2414" spans="12:12" ht="12" customHeight="1">
      <c r="L2414" s="17"/>
    </row>
    <row r="2415" spans="12:12" ht="12" customHeight="1">
      <c r="L2415" s="17"/>
    </row>
    <row r="2416" spans="12:12" ht="12" customHeight="1">
      <c r="L2416" s="17"/>
    </row>
    <row r="2417" spans="12:29" ht="12" customHeight="1">
      <c r="L2417" s="17"/>
    </row>
    <row r="2418" spans="12:29" ht="12" customHeight="1">
      <c r="L2418" s="17"/>
    </row>
    <row r="2419" spans="12:29" ht="12" customHeight="1">
      <c r="L2419" s="16"/>
    </row>
    <row r="2420" spans="12:29" ht="12" customHeight="1">
      <c r="L2420" s="17"/>
    </row>
    <row r="2421" spans="12:29" ht="12" customHeight="1">
      <c r="L2421" s="17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</row>
    <row r="2422" spans="12:29" ht="12" customHeight="1">
      <c r="L2422" s="17"/>
    </row>
    <row r="2423" spans="12:29" ht="12" customHeight="1">
      <c r="L2423" s="17"/>
    </row>
    <row r="2424" spans="12:29" ht="12" customHeight="1">
      <c r="L2424" s="17"/>
    </row>
    <row r="2425" spans="12:29" ht="12" customHeight="1">
      <c r="L2425" s="17"/>
    </row>
    <row r="2426" spans="12:29" ht="12" customHeight="1">
      <c r="L2426" s="17"/>
    </row>
    <row r="2427" spans="12:29" ht="12" customHeight="1">
      <c r="L2427" s="17"/>
    </row>
    <row r="2428" spans="12:29" ht="12" customHeight="1">
      <c r="L2428" s="17"/>
    </row>
    <row r="2429" spans="12:29" ht="12" customHeight="1">
      <c r="L2429" s="17"/>
    </row>
    <row r="2430" spans="12:29" ht="12" customHeight="1">
      <c r="L2430" s="17"/>
    </row>
    <row r="2431" spans="12:29" ht="12" customHeight="1">
      <c r="L2431" s="17"/>
    </row>
    <row r="2432" spans="12:29" ht="12" customHeight="1">
      <c r="L2432" s="17"/>
    </row>
    <row r="2433" spans="1:29" ht="12" customHeight="1">
      <c r="L2433" s="17"/>
    </row>
    <row r="2434" spans="1:29" ht="12" customHeight="1">
      <c r="L2434" s="17"/>
    </row>
    <row r="2435" spans="1:29" ht="12" customHeight="1">
      <c r="L2435" s="17"/>
    </row>
    <row r="2436" spans="1:29" ht="12" customHeight="1">
      <c r="L2436" s="17"/>
    </row>
    <row r="2437" spans="1:29" ht="12" customHeight="1">
      <c r="L2437" s="17"/>
    </row>
    <row r="2438" spans="1:29" ht="12" customHeight="1">
      <c r="L2438" s="17"/>
    </row>
    <row r="2439" spans="1:29" ht="12" customHeight="1">
      <c r="L2439" s="17"/>
    </row>
    <row r="2440" spans="1:29" ht="12" customHeight="1">
      <c r="A2440" s="5"/>
      <c r="L2440" s="17"/>
    </row>
    <row r="2441" spans="1:29" ht="12" customHeight="1">
      <c r="A2441" s="5"/>
      <c r="L2441" s="17"/>
    </row>
    <row r="2442" spans="1:29" ht="12" customHeight="1">
      <c r="A2442" s="5"/>
      <c r="L2442" s="17"/>
    </row>
    <row r="2443" spans="1:29" ht="12" customHeight="1">
      <c r="A2443" s="5"/>
      <c r="L2443" s="17"/>
    </row>
    <row r="2444" spans="1:29" ht="12" customHeight="1">
      <c r="A2444" s="5"/>
      <c r="L2444" s="17"/>
    </row>
    <row r="2445" spans="1:29" ht="12" customHeight="1">
      <c r="A2445" s="5"/>
      <c r="L2445" s="17"/>
    </row>
    <row r="2446" spans="1:29" ht="12" customHeight="1">
      <c r="L2446" s="17"/>
    </row>
    <row r="2447" spans="1:29" ht="12" customHeight="1">
      <c r="L2447" s="17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</row>
    <row r="2448" spans="1:29" ht="12" customHeight="1">
      <c r="L2448" s="17"/>
    </row>
    <row r="2449" spans="1:29" ht="12" customHeight="1">
      <c r="L2449" s="17"/>
    </row>
    <row r="2450" spans="1:29" ht="12" customHeight="1">
      <c r="L2450" s="17"/>
    </row>
    <row r="2451" spans="1:29" ht="12" customHeight="1">
      <c r="L2451" s="17"/>
    </row>
    <row r="2452" spans="1:29" ht="12" customHeight="1">
      <c r="L2452" s="17"/>
    </row>
    <row r="2453" spans="1:29" ht="12" customHeight="1">
      <c r="A2453" s="5"/>
      <c r="L2453" s="17"/>
    </row>
    <row r="2454" spans="1:29" ht="12" customHeight="1">
      <c r="L2454" s="17"/>
    </row>
    <row r="2455" spans="1:29" customFormat="1" ht="12" customHeight="1">
      <c r="A2455" s="4"/>
      <c r="B2455" s="6"/>
      <c r="C2455" s="4"/>
      <c r="D2455" s="6"/>
      <c r="E2455" s="7"/>
      <c r="F2455" s="8"/>
      <c r="G2455" s="9"/>
      <c r="H2455" s="9"/>
      <c r="I2455" s="27"/>
      <c r="J2455" s="28"/>
      <c r="K2455" s="39"/>
      <c r="L2455" s="17"/>
    </row>
    <row r="2456" spans="1:29" customFormat="1" ht="12" customHeight="1">
      <c r="A2456" s="4"/>
      <c r="B2456" s="6"/>
      <c r="C2456" s="4"/>
      <c r="D2456" s="6"/>
      <c r="E2456" s="7"/>
      <c r="F2456" s="8"/>
      <c r="G2456" s="9"/>
      <c r="H2456" s="9"/>
      <c r="I2456" s="27"/>
      <c r="J2456" s="28"/>
      <c r="K2456" s="39"/>
      <c r="L2456" s="17"/>
    </row>
    <row r="2457" spans="1:29" ht="12" customHeight="1">
      <c r="L2457" s="17"/>
    </row>
    <row r="2458" spans="1:29" ht="12" customHeight="1">
      <c r="L2458" s="17"/>
    </row>
    <row r="2459" spans="1:29" ht="12" customHeight="1">
      <c r="L2459" s="17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</row>
    <row r="2460" spans="1:29" ht="12" customHeight="1">
      <c r="L2460" s="17"/>
    </row>
    <row r="2461" spans="1:29" ht="12" customHeight="1">
      <c r="L2461" s="17"/>
    </row>
    <row r="2462" spans="1:29" ht="12" customHeight="1">
      <c r="L2462" s="17"/>
    </row>
    <row r="2463" spans="1:29" ht="12" customHeight="1">
      <c r="L2463" s="17"/>
    </row>
    <row r="2464" spans="1:29" ht="12" customHeight="1">
      <c r="L2464" s="17"/>
    </row>
    <row r="2465" spans="12:29" ht="12" customHeight="1">
      <c r="L2465" s="17"/>
    </row>
    <row r="2466" spans="12:29" ht="12" customHeight="1">
      <c r="L2466" s="17"/>
    </row>
    <row r="2467" spans="12:29" ht="12" customHeight="1">
      <c r="L2467" s="17"/>
    </row>
    <row r="2468" spans="12:29" ht="12" customHeight="1">
      <c r="L2468" s="17"/>
    </row>
    <row r="2469" spans="12:29" ht="12" customHeight="1">
      <c r="L2469" s="17"/>
    </row>
    <row r="2470" spans="12:29" ht="12" customHeight="1">
      <c r="L2470" s="17"/>
    </row>
    <row r="2471" spans="12:29" ht="12" customHeight="1">
      <c r="L2471" s="17"/>
    </row>
    <row r="2472" spans="12:29" ht="12" customHeight="1">
      <c r="L2472" s="17"/>
    </row>
    <row r="2473" spans="12:29" ht="12" customHeight="1">
      <c r="L2473" s="17"/>
    </row>
    <row r="2474" spans="12:29" ht="12" customHeight="1">
      <c r="L2474" s="17"/>
    </row>
    <row r="2475" spans="12:29" ht="12" customHeight="1">
      <c r="L2475" s="17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</row>
    <row r="2476" spans="12:29" ht="12" customHeight="1">
      <c r="L2476" s="17"/>
    </row>
    <row r="2477" spans="12:29" ht="12" customHeight="1">
      <c r="L2477" s="17"/>
    </row>
    <row r="2478" spans="12:29" ht="12" customHeight="1">
      <c r="L2478" s="17"/>
    </row>
    <row r="2479" spans="12:29" ht="12" customHeight="1">
      <c r="L2479" s="17"/>
    </row>
    <row r="2480" spans="12:29" ht="12" customHeight="1">
      <c r="L2480" s="17"/>
    </row>
    <row r="2481" spans="12:29" ht="12" customHeight="1">
      <c r="L2481" s="17"/>
    </row>
    <row r="2482" spans="12:29" ht="12" customHeight="1">
      <c r="L2482" s="17"/>
    </row>
    <row r="2483" spans="12:29" ht="12" customHeight="1">
      <c r="L2483" s="17"/>
    </row>
    <row r="2484" spans="12:29" ht="12" customHeight="1">
      <c r="L2484" s="17"/>
    </row>
    <row r="2485" spans="12:29" ht="12" customHeight="1">
      <c r="L2485" s="17"/>
    </row>
    <row r="2486" spans="12:29" ht="12" customHeight="1">
      <c r="L2486" s="17"/>
    </row>
    <row r="2487" spans="12:29" ht="12" customHeight="1">
      <c r="L2487" s="17"/>
    </row>
    <row r="2488" spans="12:29" ht="12" customHeight="1">
      <c r="L2488" s="17"/>
    </row>
    <row r="2489" spans="12:29" ht="12" customHeight="1">
      <c r="L2489" s="17"/>
    </row>
    <row r="2490" spans="12:29" ht="12" customHeight="1">
      <c r="L2490" s="17"/>
    </row>
    <row r="2491" spans="12:29" ht="12" customHeight="1">
      <c r="L2491" s="17"/>
    </row>
    <row r="2492" spans="12:29" ht="12" customHeight="1">
      <c r="L2492" s="17"/>
    </row>
    <row r="2493" spans="12:29" ht="12" customHeight="1">
      <c r="L2493" s="17"/>
    </row>
    <row r="2494" spans="12:29" ht="12" customHeight="1">
      <c r="L2494" s="17"/>
    </row>
    <row r="2495" spans="12:29" ht="12" customHeight="1">
      <c r="L2495" s="17"/>
    </row>
    <row r="2496" spans="12:29" ht="12" customHeight="1">
      <c r="L2496" s="17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</row>
    <row r="2497" spans="1:29" ht="12" customHeight="1">
      <c r="L2497" s="17"/>
    </row>
    <row r="2498" spans="1:29" ht="12" customHeight="1">
      <c r="L2498" s="17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</row>
    <row r="2499" spans="1:29" ht="12" customHeight="1">
      <c r="L2499" s="17"/>
    </row>
    <row r="2500" spans="1:29" ht="12" customHeight="1">
      <c r="L2500" s="17"/>
    </row>
    <row r="2501" spans="1:29" ht="12" customHeight="1">
      <c r="L2501" s="17"/>
    </row>
    <row r="2502" spans="1:29" ht="12" customHeight="1">
      <c r="L2502" s="17"/>
    </row>
    <row r="2503" spans="1:29" ht="12" customHeight="1">
      <c r="L2503" s="17"/>
    </row>
    <row r="2504" spans="1:29" ht="12" customHeight="1">
      <c r="L2504" s="17"/>
    </row>
    <row r="2505" spans="1:29" ht="12" customHeight="1">
      <c r="L2505" s="17"/>
    </row>
    <row r="2506" spans="1:29" ht="12" customHeight="1">
      <c r="L2506" s="17"/>
    </row>
    <row r="2507" spans="1:29" ht="12" customHeight="1">
      <c r="L2507" s="17"/>
    </row>
    <row r="2508" spans="1:29" ht="12" customHeight="1">
      <c r="L2508" s="17"/>
    </row>
    <row r="2509" spans="1:29" ht="12" customHeight="1">
      <c r="L2509" s="17"/>
    </row>
    <row r="2510" spans="1:29" ht="12" customHeight="1">
      <c r="L2510" s="17"/>
    </row>
    <row r="2511" spans="1:29" ht="12" customHeight="1">
      <c r="L2511" s="17"/>
    </row>
    <row r="2512" spans="1:29" s="5" customFormat="1" ht="12" customHeight="1">
      <c r="A2512" s="4"/>
      <c r="B2512" s="6"/>
      <c r="C2512" s="4"/>
      <c r="D2512" s="6"/>
      <c r="E2512" s="7"/>
      <c r="F2512" s="8"/>
      <c r="G2512" s="9"/>
      <c r="H2512" s="9"/>
      <c r="I2512" s="27"/>
      <c r="J2512" s="28"/>
      <c r="K2512" s="39"/>
      <c r="L2512" s="17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</row>
    <row r="2513" spans="1:29" s="5" customFormat="1" ht="12" customHeight="1">
      <c r="A2513" s="4"/>
      <c r="B2513" s="6"/>
      <c r="C2513" s="4"/>
      <c r="D2513" s="6"/>
      <c r="E2513" s="7"/>
      <c r="F2513" s="8"/>
      <c r="G2513" s="9"/>
      <c r="H2513" s="9"/>
      <c r="I2513" s="27"/>
      <c r="J2513" s="28"/>
      <c r="K2513" s="39"/>
      <c r="L2513" s="17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</row>
    <row r="2514" spans="1:29" s="5" customFormat="1" ht="12" customHeight="1">
      <c r="A2514" s="4"/>
      <c r="B2514" s="6"/>
      <c r="C2514" s="4"/>
      <c r="D2514" s="6"/>
      <c r="E2514" s="7"/>
      <c r="F2514" s="8"/>
      <c r="G2514" s="9"/>
      <c r="H2514" s="9"/>
      <c r="I2514" s="27"/>
      <c r="J2514" s="28"/>
      <c r="K2514" s="39"/>
      <c r="L2514" s="17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</row>
    <row r="2515" spans="1:29" s="5" customFormat="1" ht="12" customHeight="1">
      <c r="A2515" s="4"/>
      <c r="B2515" s="6"/>
      <c r="C2515" s="4"/>
      <c r="D2515" s="6"/>
      <c r="E2515" s="7"/>
      <c r="F2515" s="8"/>
      <c r="G2515" s="9"/>
      <c r="H2515" s="9"/>
      <c r="I2515" s="27"/>
      <c r="J2515" s="28"/>
      <c r="K2515" s="39"/>
      <c r="L2515" s="17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</row>
    <row r="2516" spans="1:29" s="5" customFormat="1" ht="12" customHeight="1">
      <c r="A2516" s="4"/>
      <c r="B2516" s="6"/>
      <c r="C2516" s="4"/>
      <c r="D2516" s="6"/>
      <c r="E2516" s="7"/>
      <c r="F2516" s="8"/>
      <c r="G2516" s="9"/>
      <c r="H2516" s="9"/>
      <c r="I2516" s="27"/>
      <c r="J2516" s="28"/>
      <c r="K2516" s="39"/>
      <c r="L2516" s="17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</row>
    <row r="2517" spans="1:29" s="5" customFormat="1" ht="12" customHeight="1">
      <c r="A2517" s="4"/>
      <c r="B2517" s="6"/>
      <c r="C2517" s="4"/>
      <c r="D2517" s="6"/>
      <c r="E2517" s="7"/>
      <c r="F2517" s="8"/>
      <c r="G2517" s="9"/>
      <c r="H2517" s="9"/>
      <c r="I2517" s="27"/>
      <c r="J2517" s="28"/>
      <c r="K2517" s="39"/>
      <c r="L2517" s="17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</row>
    <row r="2518" spans="1:29" ht="12" customHeight="1">
      <c r="L2518" s="17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</row>
    <row r="2519" spans="1:29" ht="12" customHeight="1">
      <c r="L2519" s="17"/>
    </row>
    <row r="2520" spans="1:29" ht="12" customHeight="1">
      <c r="L2520" s="17"/>
    </row>
    <row r="2521" spans="1:29" ht="12" customHeight="1">
      <c r="L2521" s="17"/>
    </row>
    <row r="2522" spans="1:29" ht="12" customHeight="1">
      <c r="L2522" s="17"/>
    </row>
    <row r="2523" spans="1:29" ht="12" customHeight="1">
      <c r="L2523" s="17"/>
    </row>
    <row r="2524" spans="1:29" ht="12" customHeight="1">
      <c r="L2524" s="17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</row>
    <row r="2525" spans="1:29" s="5" customFormat="1" ht="12" customHeight="1">
      <c r="A2525" s="4"/>
      <c r="B2525" s="6"/>
      <c r="C2525" s="4"/>
      <c r="D2525" s="6"/>
      <c r="E2525" s="7"/>
      <c r="F2525" s="8"/>
      <c r="G2525" s="9"/>
      <c r="H2525" s="9"/>
      <c r="I2525" s="27"/>
      <c r="J2525" s="28"/>
      <c r="K2525" s="39"/>
      <c r="L2525" s="17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</row>
    <row r="2526" spans="1:29" ht="12" customHeight="1">
      <c r="L2526" s="17"/>
    </row>
    <row r="2527" spans="1:29" ht="12" customHeight="1">
      <c r="L2527" s="16"/>
    </row>
    <row r="2528" spans="1:29" ht="12" customHeight="1">
      <c r="L2528" s="16"/>
    </row>
    <row r="2529" spans="12:29" ht="12" customHeight="1">
      <c r="L2529" s="16"/>
    </row>
    <row r="2530" spans="12:29" ht="12" customHeight="1">
      <c r="L2530" s="16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</row>
    <row r="2531" spans="12:29" ht="12" customHeight="1">
      <c r="L2531" s="16"/>
    </row>
    <row r="2532" spans="12:29" ht="12" customHeight="1">
      <c r="L2532" s="16"/>
    </row>
    <row r="2533" spans="12:29" ht="12" customHeight="1">
      <c r="L2533" s="16"/>
    </row>
    <row r="2534" spans="12:29" ht="12" customHeight="1">
      <c r="L2534" s="16"/>
    </row>
    <row r="2535" spans="12:29" ht="12" customHeight="1">
      <c r="L2535" s="16"/>
    </row>
    <row r="2536" spans="12:29" ht="12" customHeight="1">
      <c r="L2536" s="16"/>
    </row>
    <row r="2537" spans="12:29" ht="12" customHeight="1">
      <c r="L2537" s="16"/>
    </row>
    <row r="2538" spans="12:29" ht="12" customHeight="1">
      <c r="L2538" s="16"/>
    </row>
    <row r="2539" spans="12:29" ht="12" customHeight="1">
      <c r="L2539" s="17"/>
    </row>
    <row r="2540" spans="12:29" ht="12" customHeight="1">
      <c r="L2540" s="17"/>
    </row>
    <row r="2541" spans="12:29" ht="12" customHeight="1">
      <c r="L2541" s="17"/>
    </row>
    <row r="2542" spans="12:29" ht="12" customHeight="1">
      <c r="L2542" s="17"/>
    </row>
    <row r="2543" spans="12:29" ht="12" customHeight="1">
      <c r="L2543" s="16"/>
    </row>
    <row r="2544" spans="12:29" ht="12" customHeight="1">
      <c r="L2544" s="16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</row>
    <row r="2545" spans="1:12" ht="12" customHeight="1">
      <c r="L2545" s="17"/>
    </row>
    <row r="2546" spans="1:12" ht="12" customHeight="1">
      <c r="L2546" s="17"/>
    </row>
    <row r="2547" spans="1:12" ht="12" customHeight="1">
      <c r="A2547" s="2"/>
      <c r="L2547" s="17"/>
    </row>
    <row r="2548" spans="1:12" ht="12" customHeight="1">
      <c r="A2548" s="1"/>
      <c r="L2548" s="17"/>
    </row>
    <row r="2549" spans="1:12" ht="12" customHeight="1">
      <c r="L2549" s="17"/>
    </row>
    <row r="2550" spans="1:12" ht="12" customHeight="1">
      <c r="L2550" s="17"/>
    </row>
    <row r="2551" spans="1:12" ht="12" customHeight="1">
      <c r="L2551" s="17"/>
    </row>
    <row r="2552" spans="1:12" ht="12" customHeight="1">
      <c r="L2552" s="17"/>
    </row>
    <row r="2553" spans="1:12" ht="12" customHeight="1">
      <c r="L2553" s="17"/>
    </row>
    <row r="2554" spans="1:12" ht="12" customHeight="1">
      <c r="L2554" s="17"/>
    </row>
    <row r="2555" spans="1:12" ht="12" customHeight="1">
      <c r="A2555" s="13"/>
      <c r="L2555" s="17"/>
    </row>
    <row r="2556" spans="1:12" ht="12" customHeight="1">
      <c r="A2556" s="13"/>
      <c r="L2556" s="16"/>
    </row>
    <row r="2557" spans="1:12" ht="12" customHeight="1">
      <c r="A2557" s="13"/>
      <c r="L2557" s="17"/>
    </row>
    <row r="2558" spans="1:12" ht="12" customHeight="1">
      <c r="L2558" s="17"/>
    </row>
    <row r="2559" spans="1:12" ht="12" customHeight="1">
      <c r="L2559" s="17"/>
    </row>
    <row r="2560" spans="1:12" ht="12" customHeight="1">
      <c r="L2560" s="17"/>
    </row>
    <row r="2561" spans="1:29" ht="12" customHeight="1">
      <c r="A2561" s="5"/>
      <c r="L2561" s="17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</row>
    <row r="2562" spans="1:29" ht="12" customHeight="1">
      <c r="A2562" s="5"/>
      <c r="L2562" s="17"/>
    </row>
    <row r="2563" spans="1:29" ht="12" customHeight="1">
      <c r="A2563" s="5"/>
      <c r="L2563" s="17"/>
    </row>
    <row r="2564" spans="1:29" ht="12" customHeight="1">
      <c r="A2564" s="5"/>
      <c r="L2564" s="17"/>
    </row>
    <row r="2565" spans="1:29" ht="12" customHeight="1">
      <c r="A2565" s="5"/>
      <c r="L2565" s="17"/>
    </row>
    <row r="2566" spans="1:29" ht="12" customHeight="1">
      <c r="A2566" s="5"/>
      <c r="L2566" s="17"/>
    </row>
    <row r="2567" spans="1:29" customFormat="1" ht="12" customHeight="1">
      <c r="A2567" s="5"/>
      <c r="B2567" s="6"/>
      <c r="C2567" s="4"/>
      <c r="D2567" s="6"/>
      <c r="E2567" s="7"/>
      <c r="F2567" s="8"/>
      <c r="G2567" s="9"/>
      <c r="H2567" s="9"/>
      <c r="I2567" s="27"/>
      <c r="J2567" s="28"/>
      <c r="K2567" s="39"/>
      <c r="L2567" s="17"/>
    </row>
    <row r="2568" spans="1:29" customFormat="1" ht="12" customHeight="1">
      <c r="A2568" s="5"/>
      <c r="B2568" s="6"/>
      <c r="C2568" s="4"/>
      <c r="D2568" s="6"/>
      <c r="E2568" s="7"/>
      <c r="F2568" s="8"/>
      <c r="G2568" s="9"/>
      <c r="H2568" s="9"/>
      <c r="I2568" s="27"/>
      <c r="J2568" s="28"/>
      <c r="K2568" s="39"/>
      <c r="L2568" s="17"/>
    </row>
    <row r="2569" spans="1:29" customFormat="1" ht="12" customHeight="1">
      <c r="A2569" s="5"/>
      <c r="B2569" s="6"/>
      <c r="C2569" s="4"/>
      <c r="D2569" s="6"/>
      <c r="E2569" s="7"/>
      <c r="F2569" s="8"/>
      <c r="G2569" s="9"/>
      <c r="H2569" s="9"/>
      <c r="I2569" s="27"/>
      <c r="J2569" s="28"/>
      <c r="K2569" s="39"/>
      <c r="L2569" s="17"/>
    </row>
    <row r="2570" spans="1:29" customFormat="1" ht="12" customHeight="1">
      <c r="A2570" s="5"/>
      <c r="B2570" s="6"/>
      <c r="C2570" s="4"/>
      <c r="D2570" s="6"/>
      <c r="E2570" s="7"/>
      <c r="F2570" s="8"/>
      <c r="G2570" s="9"/>
      <c r="H2570" s="9"/>
      <c r="I2570" s="27"/>
      <c r="J2570" s="28"/>
      <c r="K2570" s="39"/>
      <c r="L2570" s="17"/>
    </row>
    <row r="2571" spans="1:29" customFormat="1" ht="12" customHeight="1">
      <c r="A2571" s="5"/>
      <c r="B2571" s="6"/>
      <c r="C2571" s="4"/>
      <c r="D2571" s="6"/>
      <c r="E2571" s="7"/>
      <c r="F2571" s="8"/>
      <c r="G2571" s="9"/>
      <c r="H2571" s="9"/>
      <c r="I2571" s="27"/>
      <c r="J2571" s="28"/>
      <c r="K2571" s="39"/>
      <c r="L2571" s="17"/>
    </row>
    <row r="2572" spans="1:29" ht="12" customHeight="1">
      <c r="A2572" s="5"/>
      <c r="L2572" s="17"/>
    </row>
    <row r="2573" spans="1:29" ht="12.75" customHeight="1">
      <c r="A2573" s="13"/>
      <c r="L2573" s="17"/>
    </row>
    <row r="2574" spans="1:29" ht="12" customHeight="1">
      <c r="A2574" s="2"/>
      <c r="L2574" s="17"/>
    </row>
    <row r="2575" spans="1:29" customFormat="1" ht="12" customHeight="1">
      <c r="A2575" s="2"/>
      <c r="B2575" s="6"/>
      <c r="C2575" s="4"/>
      <c r="D2575" s="6"/>
      <c r="E2575" s="7"/>
      <c r="F2575" s="8"/>
      <c r="G2575" s="9"/>
      <c r="H2575" s="9"/>
      <c r="I2575" s="27"/>
      <c r="J2575" s="28"/>
      <c r="K2575" s="39"/>
      <c r="L2575" s="17"/>
    </row>
    <row r="2576" spans="1:29" customFormat="1" ht="12" customHeight="1">
      <c r="A2576" s="2"/>
      <c r="B2576" s="6"/>
      <c r="C2576" s="4"/>
      <c r="D2576" s="6"/>
      <c r="E2576" s="7"/>
      <c r="F2576" s="8"/>
      <c r="G2576" s="9"/>
      <c r="H2576" s="9"/>
      <c r="I2576" s="27"/>
      <c r="J2576" s="28"/>
      <c r="K2576" s="39"/>
      <c r="L2576" s="17"/>
    </row>
    <row r="2577" spans="1:12" customFormat="1" ht="12" customHeight="1">
      <c r="A2577" s="5"/>
      <c r="B2577" s="6"/>
      <c r="C2577" s="4"/>
      <c r="D2577" s="6"/>
      <c r="E2577" s="7"/>
      <c r="F2577" s="8"/>
      <c r="G2577" s="9"/>
      <c r="H2577" s="9"/>
      <c r="I2577" s="27"/>
      <c r="J2577" s="28"/>
      <c r="K2577" s="39"/>
      <c r="L2577" s="17"/>
    </row>
    <row r="2578" spans="1:12" customFormat="1" ht="12" customHeight="1">
      <c r="A2578" s="5"/>
      <c r="B2578" s="6"/>
      <c r="C2578" s="4"/>
      <c r="D2578" s="6"/>
      <c r="E2578" s="7"/>
      <c r="F2578" s="8"/>
      <c r="G2578" s="9"/>
      <c r="H2578" s="9"/>
      <c r="I2578" s="27"/>
      <c r="J2578" s="28"/>
      <c r="K2578" s="39"/>
      <c r="L2578" s="17"/>
    </row>
    <row r="2579" spans="1:12" customFormat="1" ht="12" customHeight="1">
      <c r="A2579" s="4"/>
      <c r="B2579" s="6"/>
      <c r="C2579" s="4"/>
      <c r="D2579" s="6"/>
      <c r="E2579" s="7"/>
      <c r="F2579" s="8"/>
      <c r="G2579" s="9"/>
      <c r="H2579" s="9"/>
      <c r="I2579" s="27"/>
      <c r="J2579" s="28"/>
      <c r="K2579" s="39"/>
      <c r="L2579" s="17"/>
    </row>
    <row r="2580" spans="1:12" customFormat="1" ht="12" customHeight="1">
      <c r="A2580" s="4"/>
      <c r="B2580" s="6"/>
      <c r="C2580" s="4"/>
      <c r="D2580" s="6"/>
      <c r="E2580" s="7"/>
      <c r="F2580" s="8"/>
      <c r="G2580" s="9"/>
      <c r="H2580" s="9"/>
      <c r="I2580" s="27"/>
      <c r="J2580" s="28"/>
      <c r="K2580" s="39"/>
      <c r="L2580" s="17"/>
    </row>
    <row r="2581" spans="1:12" ht="12" customHeight="1">
      <c r="A2581" s="2"/>
      <c r="L2581" s="17"/>
    </row>
    <row r="2582" spans="1:12" ht="12" customHeight="1">
      <c r="A2582" s="2"/>
      <c r="L2582" s="17"/>
    </row>
    <row r="2583" spans="1:12" ht="12" customHeight="1">
      <c r="L2583" s="17"/>
    </row>
    <row r="2584" spans="1:12" ht="12" customHeight="1">
      <c r="L2584" s="17"/>
    </row>
    <row r="2585" spans="1:12" ht="12" customHeight="1">
      <c r="L2585" s="17"/>
    </row>
    <row r="2586" spans="1:12" ht="12" customHeight="1">
      <c r="A2586" s="13"/>
      <c r="L2586" s="17"/>
    </row>
    <row r="2587" spans="1:12" ht="12" customHeight="1">
      <c r="L2587" s="17"/>
    </row>
    <row r="2588" spans="1:12" ht="12" customHeight="1">
      <c r="L2588" s="17"/>
    </row>
    <row r="2589" spans="1:12" ht="12" customHeight="1">
      <c r="L2589" s="17"/>
    </row>
    <row r="2590" spans="1:12" ht="12" customHeight="1">
      <c r="A2590" s="5"/>
      <c r="L2590" s="17"/>
    </row>
    <row r="2591" spans="1:12" customFormat="1" ht="12" customHeight="1">
      <c r="A2591" s="2"/>
      <c r="B2591" s="6"/>
      <c r="C2591" s="4"/>
      <c r="D2591" s="6"/>
      <c r="E2591" s="7"/>
      <c r="F2591" s="8"/>
      <c r="G2591" s="9"/>
      <c r="H2591" s="9"/>
      <c r="I2591" s="27"/>
      <c r="J2591" s="28"/>
      <c r="K2591" s="39"/>
      <c r="L2591" s="17"/>
    </row>
    <row r="2592" spans="1:12" ht="12" customHeight="1">
      <c r="A2592" s="2"/>
      <c r="L2592" s="17"/>
    </row>
    <row r="2593" spans="1:29" ht="12" customHeight="1">
      <c r="A2593" s="2"/>
      <c r="L2593" s="17"/>
    </row>
    <row r="2594" spans="1:29" ht="12" customHeight="1">
      <c r="A2594" s="2"/>
      <c r="L2594" s="17"/>
    </row>
    <row r="2595" spans="1:29" ht="12" customHeight="1">
      <c r="A2595" s="2"/>
      <c r="L2595" s="17"/>
    </row>
    <row r="2596" spans="1:29" customFormat="1" ht="12" customHeight="1">
      <c r="A2596" s="2"/>
      <c r="B2596" s="6"/>
      <c r="C2596" s="4"/>
      <c r="D2596" s="6"/>
      <c r="E2596" s="7"/>
      <c r="F2596" s="8"/>
      <c r="G2596" s="9"/>
      <c r="H2596" s="9"/>
      <c r="I2596" s="27"/>
      <c r="J2596" s="28"/>
      <c r="K2596" s="39"/>
      <c r="L2596" s="17"/>
    </row>
    <row r="2597" spans="1:29" ht="12" customHeight="1">
      <c r="A2597" s="2"/>
      <c r="L2597" s="17"/>
    </row>
    <row r="2598" spans="1:29" ht="12" customHeight="1">
      <c r="A2598" s="2"/>
      <c r="L2598" s="17"/>
    </row>
    <row r="2599" spans="1:29" ht="12" customHeight="1">
      <c r="L2599" s="17"/>
    </row>
    <row r="2600" spans="1:29" ht="12" customHeight="1">
      <c r="L2600" s="17"/>
    </row>
    <row r="2601" spans="1:29" ht="12" customHeight="1">
      <c r="L2601" s="17"/>
    </row>
    <row r="2602" spans="1:29" customFormat="1" ht="12" customHeight="1">
      <c r="A2602" s="4"/>
      <c r="B2602" s="6"/>
      <c r="C2602" s="4"/>
      <c r="D2602" s="6"/>
      <c r="E2602" s="7"/>
      <c r="F2602" s="8"/>
      <c r="G2602" s="9"/>
      <c r="H2602" s="9"/>
      <c r="I2602" s="27"/>
      <c r="J2602" s="28"/>
      <c r="K2602" s="39"/>
      <c r="L2602" s="17"/>
    </row>
    <row r="2603" spans="1:29" customFormat="1" ht="12" customHeight="1">
      <c r="A2603" s="4"/>
      <c r="B2603" s="6"/>
      <c r="C2603" s="4"/>
      <c r="D2603" s="6"/>
      <c r="E2603" s="7"/>
      <c r="F2603" s="8"/>
      <c r="G2603" s="9"/>
      <c r="H2603" s="9"/>
      <c r="I2603" s="27"/>
      <c r="J2603" s="28"/>
      <c r="K2603" s="39"/>
      <c r="L2603" s="17"/>
    </row>
    <row r="2604" spans="1:29" ht="12" customHeight="1">
      <c r="L2604" s="17"/>
    </row>
    <row r="2605" spans="1:29" ht="12" customHeight="1">
      <c r="L2605" s="17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</row>
    <row r="2606" spans="1:29" ht="12" customHeight="1">
      <c r="L2606" s="17"/>
    </row>
    <row r="2607" spans="1:29" ht="12" customHeight="1">
      <c r="L2607" s="17"/>
    </row>
    <row r="2608" spans="1:29" ht="12" customHeight="1">
      <c r="L2608" s="17"/>
    </row>
    <row r="2609" spans="1:12" ht="12" customHeight="1">
      <c r="L2609" s="17"/>
    </row>
    <row r="2610" spans="1:12" ht="12" customHeight="1">
      <c r="L2610" s="17"/>
    </row>
    <row r="2611" spans="1:12" ht="12" customHeight="1">
      <c r="L2611" s="17"/>
    </row>
    <row r="2612" spans="1:12" ht="12" customHeight="1">
      <c r="L2612" s="17"/>
    </row>
    <row r="2613" spans="1:12" ht="12" customHeight="1">
      <c r="L2613" s="17"/>
    </row>
    <row r="2614" spans="1:12" customFormat="1" ht="12" customHeight="1">
      <c r="A2614" s="4"/>
      <c r="B2614" s="6"/>
      <c r="C2614" s="4"/>
      <c r="D2614" s="6"/>
      <c r="E2614" s="7"/>
      <c r="F2614" s="8"/>
      <c r="G2614" s="9"/>
      <c r="H2614" s="9"/>
      <c r="I2614" s="27"/>
      <c r="J2614" s="28"/>
      <c r="K2614" s="39"/>
      <c r="L2614" s="17"/>
    </row>
    <row r="2615" spans="1:12" customFormat="1" ht="12" customHeight="1">
      <c r="A2615" s="4"/>
      <c r="B2615" s="6"/>
      <c r="C2615" s="4"/>
      <c r="D2615" s="6"/>
      <c r="E2615" s="7"/>
      <c r="F2615" s="8"/>
      <c r="G2615" s="9"/>
      <c r="H2615" s="9"/>
      <c r="I2615" s="27"/>
      <c r="J2615" s="28"/>
      <c r="K2615" s="39"/>
      <c r="L2615" s="17"/>
    </row>
    <row r="2616" spans="1:12" ht="12" customHeight="1">
      <c r="L2616" s="17"/>
    </row>
    <row r="2617" spans="1:12" ht="12" customHeight="1">
      <c r="L2617" s="17"/>
    </row>
    <row r="2618" spans="1:12" ht="12" customHeight="1">
      <c r="L2618" s="17"/>
    </row>
    <row r="2619" spans="1:12" s="2" customFormat="1" ht="12" customHeight="1">
      <c r="A2619" s="4"/>
      <c r="B2619" s="6"/>
      <c r="C2619" s="4"/>
      <c r="D2619" s="6"/>
      <c r="E2619" s="7"/>
      <c r="F2619" s="8"/>
      <c r="G2619" s="9"/>
      <c r="H2619" s="9"/>
      <c r="I2619" s="27"/>
      <c r="J2619" s="28"/>
      <c r="K2619" s="39"/>
      <c r="L2619" s="17"/>
    </row>
    <row r="2620" spans="1:12" s="1" customFormat="1" ht="12" customHeight="1">
      <c r="A2620" s="4"/>
      <c r="B2620" s="6"/>
      <c r="C2620" s="4"/>
      <c r="D2620" s="6"/>
      <c r="E2620" s="7"/>
      <c r="F2620" s="8"/>
      <c r="G2620" s="9"/>
      <c r="H2620" s="9"/>
      <c r="I2620" s="27"/>
      <c r="J2620" s="28"/>
      <c r="K2620" s="39"/>
      <c r="L2620" s="17"/>
    </row>
    <row r="2621" spans="1:12" ht="12" customHeight="1">
      <c r="L2621" s="17"/>
    </row>
    <row r="2622" spans="1:12" ht="12" customHeight="1">
      <c r="A2622" s="2"/>
      <c r="L2622" s="17"/>
    </row>
    <row r="2623" spans="1:12" customFormat="1" ht="12" customHeight="1">
      <c r="A2623" s="4"/>
      <c r="B2623" s="6"/>
      <c r="C2623" s="4"/>
      <c r="D2623" s="6"/>
      <c r="E2623" s="7"/>
      <c r="F2623" s="8"/>
      <c r="G2623" s="9"/>
      <c r="H2623" s="9"/>
      <c r="I2623" s="27"/>
      <c r="J2623" s="28"/>
      <c r="K2623" s="39"/>
      <c r="L2623" s="17"/>
    </row>
    <row r="2624" spans="1:12" customFormat="1" ht="12" customHeight="1">
      <c r="A2624" s="4"/>
      <c r="B2624" s="6"/>
      <c r="C2624" s="4"/>
      <c r="D2624" s="6"/>
      <c r="E2624" s="7"/>
      <c r="F2624" s="8"/>
      <c r="G2624" s="9"/>
      <c r="H2624" s="9"/>
      <c r="I2624" s="27"/>
      <c r="J2624" s="28"/>
      <c r="K2624" s="39"/>
      <c r="L2624" s="17"/>
    </row>
    <row r="2625" spans="1:29" ht="12" customHeight="1">
      <c r="L2625" s="16"/>
    </row>
    <row r="2626" spans="1:29" ht="12" customHeight="1">
      <c r="L2626" s="16"/>
    </row>
    <row r="2627" spans="1:29" s="13" customFormat="1" ht="12" customHeight="1">
      <c r="A2627" s="4"/>
      <c r="B2627" s="6"/>
      <c r="C2627" s="4"/>
      <c r="D2627" s="6"/>
      <c r="E2627" s="7"/>
      <c r="F2627" s="8"/>
      <c r="G2627" s="9"/>
      <c r="H2627" s="9"/>
      <c r="I2627" s="27"/>
      <c r="J2627" s="28"/>
      <c r="K2627" s="39"/>
      <c r="L2627" s="16"/>
    </row>
    <row r="2628" spans="1:29" s="13" customFormat="1" ht="12" customHeight="1">
      <c r="A2628" s="4"/>
      <c r="B2628" s="6"/>
      <c r="C2628" s="4"/>
      <c r="D2628" s="6"/>
      <c r="E2628" s="7"/>
      <c r="F2628" s="8"/>
      <c r="G2628" s="9"/>
      <c r="H2628" s="9"/>
      <c r="I2628" s="27"/>
      <c r="J2628" s="28"/>
      <c r="K2628" s="39"/>
      <c r="L2628" s="16"/>
    </row>
    <row r="2629" spans="1:29" s="13" customFormat="1" ht="12" customHeight="1">
      <c r="A2629" s="4"/>
      <c r="B2629" s="6"/>
      <c r="C2629" s="4"/>
      <c r="D2629" s="6"/>
      <c r="E2629" s="7"/>
      <c r="F2629" s="8"/>
      <c r="G2629" s="9"/>
      <c r="H2629" s="9"/>
      <c r="I2629" s="27"/>
      <c r="J2629" s="28"/>
      <c r="K2629" s="39"/>
      <c r="L2629" s="17"/>
    </row>
    <row r="2630" spans="1:29" ht="12" customHeight="1">
      <c r="L2630" s="17"/>
    </row>
    <row r="2631" spans="1:29" ht="12" customHeight="1">
      <c r="L2631" s="17"/>
    </row>
    <row r="2632" spans="1:29" ht="12" customHeight="1">
      <c r="L2632" s="17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</row>
    <row r="2633" spans="1:29" s="5" customFormat="1" ht="12" customHeight="1">
      <c r="A2633" s="4"/>
      <c r="B2633" s="6"/>
      <c r="C2633" s="4"/>
      <c r="D2633" s="6"/>
      <c r="E2633" s="7"/>
      <c r="F2633" s="8"/>
      <c r="G2633" s="9"/>
      <c r="H2633" s="9"/>
      <c r="I2633" s="27"/>
      <c r="J2633" s="28"/>
      <c r="K2633" s="39"/>
      <c r="L2633" s="17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</row>
    <row r="2634" spans="1:29" s="5" customFormat="1" ht="12" customHeight="1">
      <c r="A2634" s="4"/>
      <c r="B2634" s="6"/>
      <c r="C2634" s="4"/>
      <c r="D2634" s="6"/>
      <c r="E2634" s="7"/>
      <c r="F2634" s="8"/>
      <c r="G2634" s="9"/>
      <c r="H2634" s="9"/>
      <c r="I2634" s="27"/>
      <c r="J2634" s="28"/>
      <c r="K2634" s="39"/>
      <c r="L2634" s="17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</row>
    <row r="2635" spans="1:29" s="5" customFormat="1" ht="12" customHeight="1">
      <c r="A2635" s="4"/>
      <c r="B2635" s="6"/>
      <c r="C2635" s="4"/>
      <c r="D2635" s="6"/>
      <c r="E2635" s="7"/>
      <c r="F2635" s="8"/>
      <c r="G2635" s="9"/>
      <c r="H2635" s="9"/>
      <c r="I2635" s="27"/>
      <c r="J2635" s="28"/>
      <c r="K2635" s="39"/>
      <c r="L2635" s="17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</row>
    <row r="2636" spans="1:29" s="5" customFormat="1" ht="12" customHeight="1">
      <c r="A2636" s="4"/>
      <c r="B2636" s="6"/>
      <c r="C2636" s="4"/>
      <c r="D2636" s="6"/>
      <c r="E2636" s="7"/>
      <c r="F2636" s="8"/>
      <c r="G2636" s="9"/>
      <c r="H2636" s="9"/>
      <c r="I2636" s="27"/>
      <c r="J2636" s="28"/>
      <c r="K2636" s="39"/>
      <c r="L2636" s="17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</row>
    <row r="2637" spans="1:29" s="5" customFormat="1" ht="12" customHeight="1">
      <c r="A2637" s="2"/>
      <c r="B2637" s="6"/>
      <c r="C2637" s="4"/>
      <c r="D2637" s="6"/>
      <c r="E2637" s="7"/>
      <c r="F2637" s="8"/>
      <c r="G2637" s="9"/>
      <c r="H2637" s="9"/>
      <c r="I2637" s="27"/>
      <c r="J2637" s="28"/>
      <c r="K2637" s="39"/>
      <c r="L2637" s="17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</row>
    <row r="2638" spans="1:29" s="5" customFormat="1" ht="12" customHeight="1">
      <c r="A2638" s="4"/>
      <c r="B2638" s="6"/>
      <c r="C2638" s="4"/>
      <c r="D2638" s="6"/>
      <c r="E2638" s="7"/>
      <c r="F2638" s="8"/>
      <c r="G2638" s="9"/>
      <c r="H2638" s="9"/>
      <c r="I2638" s="27"/>
      <c r="J2638" s="28"/>
      <c r="K2638" s="39"/>
      <c r="L2638" s="17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</row>
    <row r="2639" spans="1:29" s="5" customFormat="1" ht="12" customHeight="1">
      <c r="A2639" s="4"/>
      <c r="B2639" s="6"/>
      <c r="C2639" s="4"/>
      <c r="D2639" s="6"/>
      <c r="E2639" s="7"/>
      <c r="F2639" s="8"/>
      <c r="G2639" s="9"/>
      <c r="H2639" s="9"/>
      <c r="I2639" s="27"/>
      <c r="J2639" s="28"/>
      <c r="K2639" s="39"/>
      <c r="L2639" s="17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</row>
    <row r="2640" spans="1:29" s="5" customFormat="1" ht="12" customHeight="1">
      <c r="A2640" s="4"/>
      <c r="B2640" s="6"/>
      <c r="C2640" s="4"/>
      <c r="D2640" s="6"/>
      <c r="E2640" s="7"/>
      <c r="F2640" s="8"/>
      <c r="G2640" s="9"/>
      <c r="H2640" s="9"/>
      <c r="I2640" s="27"/>
      <c r="J2640" s="28"/>
      <c r="K2640" s="39"/>
      <c r="L2640" s="17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</row>
    <row r="2641" spans="1:29" s="5" customFormat="1" ht="12" customHeight="1">
      <c r="A2641" s="4"/>
      <c r="B2641" s="6"/>
      <c r="C2641" s="4"/>
      <c r="D2641" s="6"/>
      <c r="E2641" s="7"/>
      <c r="F2641" s="8"/>
      <c r="G2641" s="9"/>
      <c r="H2641" s="9"/>
      <c r="I2641" s="27"/>
      <c r="J2641" s="28"/>
      <c r="K2641" s="39"/>
      <c r="L2641" s="17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</row>
    <row r="2642" spans="1:29" s="5" customFormat="1" ht="12" customHeight="1">
      <c r="A2642" s="4"/>
      <c r="B2642" s="6"/>
      <c r="C2642" s="4"/>
      <c r="D2642" s="6"/>
      <c r="E2642" s="7"/>
      <c r="F2642" s="8"/>
      <c r="G2642" s="9"/>
      <c r="H2642" s="9"/>
      <c r="I2642" s="27"/>
      <c r="J2642" s="28"/>
      <c r="K2642" s="39"/>
      <c r="L2642" s="16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</row>
    <row r="2643" spans="1:29" s="5" customFormat="1" ht="12" customHeight="1">
      <c r="A2643" s="4"/>
      <c r="B2643" s="6"/>
      <c r="C2643" s="4"/>
      <c r="D2643" s="6"/>
      <c r="E2643" s="7"/>
      <c r="F2643" s="8"/>
      <c r="G2643" s="9"/>
      <c r="H2643" s="9"/>
      <c r="I2643" s="27"/>
      <c r="J2643" s="28"/>
      <c r="K2643" s="39"/>
      <c r="L2643" s="16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</row>
    <row r="2644" spans="1:29" s="5" customFormat="1" ht="12" customHeight="1">
      <c r="A2644" s="4"/>
      <c r="B2644" s="6"/>
      <c r="C2644" s="4"/>
      <c r="D2644" s="6"/>
      <c r="E2644" s="7"/>
      <c r="F2644" s="8"/>
      <c r="G2644" s="9"/>
      <c r="H2644" s="9"/>
      <c r="I2644" s="27"/>
      <c r="J2644" s="28"/>
      <c r="K2644" s="39"/>
      <c r="L2644" s="16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</row>
    <row r="2645" spans="1:29" s="13" customFormat="1" ht="12" customHeight="1">
      <c r="A2645" s="4"/>
      <c r="B2645" s="6"/>
      <c r="C2645" s="4"/>
      <c r="D2645" s="6"/>
      <c r="E2645" s="7"/>
      <c r="F2645" s="8"/>
      <c r="G2645" s="9"/>
      <c r="H2645" s="9"/>
      <c r="I2645" s="27"/>
      <c r="J2645" s="28"/>
      <c r="K2645" s="39"/>
      <c r="L2645" s="16"/>
    </row>
    <row r="2646" spans="1:29" s="2" customFormat="1" ht="12" customHeight="1">
      <c r="A2646" s="4"/>
      <c r="B2646" s="6"/>
      <c r="C2646" s="4"/>
      <c r="D2646" s="6"/>
      <c r="E2646" s="7"/>
      <c r="F2646" s="8"/>
      <c r="G2646" s="9"/>
      <c r="H2646" s="9"/>
      <c r="I2646" s="27"/>
      <c r="J2646" s="28"/>
      <c r="K2646" s="39"/>
      <c r="L2646" s="16"/>
    </row>
    <row r="2647" spans="1:29" s="2" customFormat="1" ht="12" customHeight="1">
      <c r="A2647" s="4"/>
      <c r="B2647" s="6"/>
      <c r="C2647" s="4"/>
      <c r="D2647" s="6"/>
      <c r="E2647" s="7"/>
      <c r="F2647" s="8"/>
      <c r="G2647" s="9"/>
      <c r="H2647" s="9"/>
      <c r="I2647" s="27"/>
      <c r="J2647" s="28"/>
      <c r="K2647" s="39"/>
      <c r="L2647" s="16"/>
    </row>
    <row r="2648" spans="1:29" s="2" customFormat="1" ht="12" customHeight="1">
      <c r="B2648" s="6"/>
      <c r="C2648" s="4"/>
      <c r="D2648" s="6"/>
      <c r="E2648" s="7"/>
      <c r="F2648" s="8"/>
      <c r="G2648" s="9"/>
      <c r="H2648" s="9"/>
      <c r="I2648" s="27"/>
      <c r="J2648" s="28"/>
      <c r="K2648" s="39"/>
      <c r="L2648" s="16"/>
    </row>
    <row r="2649" spans="1:29" s="5" customFormat="1" ht="12" customHeight="1">
      <c r="A2649" s="2"/>
      <c r="B2649" s="6"/>
      <c r="C2649" s="4"/>
      <c r="D2649" s="6"/>
      <c r="E2649" s="7"/>
      <c r="F2649" s="8"/>
      <c r="G2649" s="9"/>
      <c r="H2649" s="9"/>
      <c r="I2649" s="27"/>
      <c r="J2649" s="28"/>
      <c r="K2649" s="39"/>
      <c r="L2649" s="16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</row>
    <row r="2650" spans="1:29" s="5" customFormat="1" ht="12" customHeight="1">
      <c r="A2650" s="2"/>
      <c r="B2650" s="6"/>
      <c r="C2650" s="4"/>
      <c r="D2650" s="6"/>
      <c r="E2650" s="7"/>
      <c r="F2650" s="8"/>
      <c r="G2650" s="9"/>
      <c r="H2650" s="9"/>
      <c r="I2650" s="27"/>
      <c r="J2650" s="28"/>
      <c r="K2650" s="39"/>
      <c r="L2650" s="16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</row>
    <row r="2651" spans="1:29" customFormat="1" ht="12" customHeight="1">
      <c r="A2651" s="4"/>
      <c r="B2651" s="6"/>
      <c r="C2651" s="4"/>
      <c r="D2651" s="6"/>
      <c r="E2651" s="7"/>
      <c r="F2651" s="8"/>
      <c r="G2651" s="9"/>
      <c r="H2651" s="9"/>
      <c r="I2651" s="27"/>
      <c r="J2651" s="28"/>
      <c r="K2651" s="39"/>
      <c r="L2651" s="16"/>
    </row>
    <row r="2652" spans="1:29" customFormat="1" ht="12" customHeight="1">
      <c r="A2652" s="4"/>
      <c r="B2652" s="6"/>
      <c r="C2652" s="4"/>
      <c r="D2652" s="6"/>
      <c r="E2652" s="7"/>
      <c r="F2652" s="8"/>
      <c r="G2652" s="9"/>
      <c r="H2652" s="9"/>
      <c r="I2652" s="27"/>
      <c r="J2652" s="28"/>
      <c r="K2652" s="39"/>
      <c r="L2652" s="17"/>
    </row>
    <row r="2653" spans="1:29" s="2" customFormat="1" ht="12" customHeight="1">
      <c r="A2653" s="4"/>
      <c r="B2653" s="6"/>
      <c r="C2653" s="4"/>
      <c r="D2653" s="6"/>
      <c r="E2653" s="7"/>
      <c r="F2653" s="8"/>
      <c r="G2653" s="9"/>
      <c r="H2653" s="9"/>
      <c r="I2653" s="27"/>
      <c r="J2653" s="28"/>
      <c r="K2653" s="39"/>
      <c r="L2653" s="17"/>
    </row>
    <row r="2654" spans="1:29" s="2" customFormat="1" ht="12" customHeight="1">
      <c r="A2654" s="4"/>
      <c r="B2654" s="6"/>
      <c r="C2654" s="4"/>
      <c r="D2654" s="6"/>
      <c r="E2654" s="7"/>
      <c r="F2654" s="8"/>
      <c r="G2654" s="9"/>
      <c r="H2654" s="9"/>
      <c r="I2654" s="27"/>
      <c r="J2654" s="28"/>
      <c r="K2654" s="39"/>
      <c r="L2654" s="15"/>
    </row>
    <row r="2655" spans="1:29" ht="12" customHeight="1">
      <c r="L2655" s="15"/>
    </row>
    <row r="2656" spans="1:29" ht="12" customHeight="1">
      <c r="L2656" s="23"/>
    </row>
    <row r="2657" spans="1:29" ht="12" customHeight="1"/>
    <row r="2658" spans="1:29" s="13" customFormat="1" ht="12" customHeight="1">
      <c r="A2658" s="4"/>
      <c r="B2658" s="6"/>
      <c r="C2658" s="4"/>
      <c r="D2658" s="6"/>
      <c r="E2658" s="7"/>
      <c r="F2658" s="8"/>
      <c r="G2658" s="9"/>
      <c r="H2658" s="9"/>
      <c r="I2658" s="27"/>
      <c r="J2658" s="28"/>
      <c r="K2658" s="39"/>
      <c r="L2658" s="14"/>
    </row>
    <row r="2659" spans="1:29" ht="12" customHeight="1">
      <c r="A2659" s="5"/>
    </row>
    <row r="2660" spans="1:29" ht="12" customHeight="1">
      <c r="A2660" s="5"/>
    </row>
    <row r="2661" spans="1:29" ht="12" customHeight="1">
      <c r="A2661" s="5"/>
    </row>
    <row r="2662" spans="1:29" s="5" customFormat="1" ht="12" customHeight="1">
      <c r="B2662" s="6"/>
      <c r="C2662" s="4"/>
      <c r="D2662" s="6"/>
      <c r="E2662" s="7"/>
      <c r="F2662" s="8"/>
      <c r="G2662" s="9"/>
      <c r="H2662" s="9"/>
      <c r="I2662" s="27"/>
      <c r="J2662" s="28"/>
      <c r="K2662" s="39"/>
      <c r="L2662" s="14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</row>
    <row r="2663" spans="1:29" s="2" customFormat="1" ht="12" customHeight="1">
      <c r="A2663" s="4"/>
      <c r="B2663" s="6"/>
      <c r="C2663" s="4"/>
      <c r="D2663" s="6"/>
      <c r="E2663" s="7"/>
      <c r="F2663" s="8"/>
      <c r="G2663" s="9"/>
      <c r="H2663" s="9"/>
      <c r="I2663" s="27"/>
      <c r="J2663" s="28"/>
      <c r="K2663" s="39"/>
      <c r="L2663" s="14"/>
    </row>
    <row r="2664" spans="1:29" s="2" customFormat="1" ht="12" customHeight="1">
      <c r="A2664" s="4"/>
      <c r="B2664" s="6"/>
      <c r="C2664" s="4"/>
      <c r="D2664" s="6"/>
      <c r="E2664" s="7"/>
      <c r="F2664" s="8"/>
      <c r="G2664" s="9"/>
      <c r="H2664" s="9"/>
      <c r="I2664" s="27"/>
      <c r="J2664" s="28"/>
      <c r="K2664" s="39"/>
      <c r="L2664" s="14"/>
    </row>
    <row r="2665" spans="1:29" s="2" customFormat="1" ht="12" customHeight="1">
      <c r="A2665" s="4"/>
      <c r="B2665" s="6"/>
      <c r="C2665" s="4"/>
      <c r="D2665" s="6"/>
      <c r="E2665" s="7"/>
      <c r="F2665" s="8"/>
      <c r="G2665" s="9"/>
      <c r="H2665" s="9"/>
      <c r="I2665" s="27"/>
      <c r="J2665" s="28"/>
      <c r="K2665" s="39"/>
      <c r="L2665" s="14"/>
    </row>
    <row r="2666" spans="1:29" s="2" customFormat="1" ht="12" customHeight="1">
      <c r="A2666" s="4"/>
      <c r="B2666" s="6"/>
      <c r="C2666" s="4"/>
      <c r="D2666" s="6"/>
      <c r="E2666" s="7"/>
      <c r="F2666" s="8"/>
      <c r="G2666" s="9"/>
      <c r="H2666" s="9"/>
      <c r="I2666" s="27"/>
      <c r="J2666" s="28"/>
      <c r="K2666" s="39"/>
      <c r="L2666" s="14"/>
    </row>
    <row r="2667" spans="1:29" s="2" customFormat="1" ht="12" customHeight="1">
      <c r="A2667" s="4"/>
      <c r="B2667" s="6"/>
      <c r="C2667" s="4"/>
      <c r="D2667" s="6"/>
      <c r="E2667" s="7"/>
      <c r="F2667" s="8"/>
      <c r="G2667" s="9"/>
      <c r="H2667" s="9"/>
      <c r="I2667" s="27"/>
      <c r="J2667" s="28"/>
      <c r="K2667" s="39"/>
      <c r="L2667" s="14"/>
    </row>
    <row r="2668" spans="1:29" s="2" customFormat="1" ht="12" customHeight="1">
      <c r="A2668" s="4"/>
      <c r="B2668" s="6"/>
      <c r="C2668" s="4"/>
      <c r="D2668" s="6"/>
      <c r="E2668" s="7"/>
      <c r="F2668" s="8"/>
      <c r="G2668" s="9"/>
      <c r="H2668" s="9"/>
      <c r="I2668" s="27"/>
      <c r="J2668" s="28"/>
      <c r="K2668" s="39"/>
      <c r="L2668" s="14"/>
    </row>
    <row r="2669" spans="1:29" s="2" customFormat="1" ht="12" customHeight="1">
      <c r="A2669" s="4"/>
      <c r="B2669" s="6"/>
      <c r="C2669" s="4"/>
      <c r="D2669" s="6"/>
      <c r="E2669" s="7"/>
      <c r="F2669" s="8"/>
      <c r="G2669" s="9"/>
      <c r="H2669" s="9"/>
      <c r="I2669" s="27"/>
      <c r="J2669" s="28"/>
      <c r="K2669" s="39"/>
      <c r="L2669" s="14"/>
    </row>
    <row r="2670" spans="1:29" s="2" customFormat="1" ht="12" customHeight="1">
      <c r="A2670" s="4"/>
      <c r="B2670" s="6"/>
      <c r="C2670" s="4"/>
      <c r="D2670" s="6"/>
      <c r="E2670" s="7"/>
      <c r="F2670" s="8"/>
      <c r="G2670" s="9"/>
      <c r="H2670" s="9"/>
      <c r="I2670" s="27"/>
      <c r="J2670" s="28"/>
      <c r="K2670" s="39"/>
      <c r="L2670" s="14"/>
    </row>
    <row r="2671" spans="1:29" ht="12" customHeight="1"/>
    <row r="2672" spans="1:29" customFormat="1" ht="12" customHeight="1">
      <c r="A2672" s="4"/>
      <c r="B2672" s="6"/>
      <c r="C2672" s="4"/>
      <c r="D2672" s="6"/>
      <c r="E2672" s="7"/>
      <c r="F2672" s="8"/>
      <c r="G2672" s="9"/>
      <c r="H2672" s="9"/>
      <c r="I2672" s="27"/>
      <c r="J2672" s="28"/>
      <c r="K2672" s="39"/>
      <c r="L2672" s="14"/>
    </row>
    <row r="2673" spans="1:12" ht="12" customHeight="1"/>
    <row r="2674" spans="1:12" ht="12" customHeight="1"/>
    <row r="2675" spans="1:12" ht="12" customHeight="1"/>
    <row r="2676" spans="1:12" ht="12" customHeight="1">
      <c r="A2676" s="5"/>
    </row>
    <row r="2677" spans="1:12" ht="12" customHeight="1">
      <c r="A2677" s="5"/>
    </row>
    <row r="2678" spans="1:12" ht="12" customHeight="1">
      <c r="A2678" s="5"/>
    </row>
    <row r="2679" spans="1:12" ht="12" customHeight="1">
      <c r="A2679" s="5"/>
    </row>
    <row r="2680" spans="1:12" ht="12" customHeight="1">
      <c r="A2680" s="5"/>
    </row>
    <row r="2681" spans="1:12" ht="12" customHeight="1">
      <c r="A2681" s="5"/>
    </row>
    <row r="2682" spans="1:12" ht="12" customHeight="1">
      <c r="A2682" s="5"/>
    </row>
    <row r="2683" spans="1:12" ht="12" customHeight="1">
      <c r="A2683" s="5"/>
    </row>
    <row r="2684" spans="1:12" ht="12" customHeight="1">
      <c r="A2684" s="5"/>
    </row>
    <row r="2685" spans="1:12" ht="12" customHeight="1">
      <c r="A2685" s="5"/>
    </row>
    <row r="2686" spans="1:12" ht="12" customHeight="1"/>
    <row r="2687" spans="1:12" ht="12" customHeight="1"/>
    <row r="2688" spans="1:12" customFormat="1" ht="12" customHeight="1">
      <c r="A2688" s="4"/>
      <c r="B2688" s="6"/>
      <c r="C2688" s="4"/>
      <c r="D2688" s="6"/>
      <c r="E2688" s="7"/>
      <c r="F2688" s="8"/>
      <c r="G2688" s="9"/>
      <c r="H2688" s="9"/>
      <c r="I2688" s="27"/>
      <c r="J2688" s="28"/>
      <c r="K2688" s="39"/>
      <c r="L2688" s="14"/>
    </row>
    <row r="2689" spans="1:12" customFormat="1" ht="12" customHeight="1">
      <c r="A2689" s="4"/>
      <c r="B2689" s="6"/>
      <c r="C2689" s="4"/>
      <c r="D2689" s="6"/>
      <c r="E2689" s="7"/>
      <c r="F2689" s="8"/>
      <c r="G2689" s="9"/>
      <c r="H2689" s="9"/>
      <c r="I2689" s="27"/>
      <c r="J2689" s="28"/>
      <c r="K2689" s="39"/>
      <c r="L2689" s="14"/>
    </row>
    <row r="2690" spans="1:12" customFormat="1" ht="12" customHeight="1">
      <c r="A2690" s="4"/>
      <c r="B2690" s="6"/>
      <c r="C2690" s="4"/>
      <c r="D2690" s="6"/>
      <c r="E2690" s="7"/>
      <c r="F2690" s="8"/>
      <c r="G2690" s="9"/>
      <c r="H2690" s="9"/>
      <c r="I2690" s="27"/>
      <c r="J2690" s="28"/>
      <c r="K2690" s="39"/>
      <c r="L2690" s="14"/>
    </row>
    <row r="2691" spans="1:12" customFormat="1" ht="12" customHeight="1">
      <c r="A2691" s="4"/>
      <c r="B2691" s="6"/>
      <c r="C2691" s="4"/>
      <c r="D2691" s="6"/>
      <c r="E2691" s="7"/>
      <c r="F2691" s="8"/>
      <c r="G2691" s="9"/>
      <c r="H2691" s="9"/>
      <c r="I2691" s="27"/>
      <c r="J2691" s="28"/>
      <c r="K2691" s="39"/>
      <c r="L2691" s="14"/>
    </row>
    <row r="2692" spans="1:12" customFormat="1" ht="12" customHeight="1">
      <c r="A2692" s="18"/>
      <c r="B2692" s="6"/>
      <c r="C2692" s="4"/>
      <c r="D2692" s="6"/>
      <c r="E2692" s="7"/>
      <c r="F2692" s="8"/>
      <c r="G2692" s="9"/>
      <c r="H2692" s="9"/>
      <c r="I2692" s="27"/>
      <c r="J2692" s="28"/>
      <c r="K2692" s="39"/>
      <c r="L2692" s="14"/>
    </row>
    <row r="2693" spans="1:12" customFormat="1" ht="12" customHeight="1">
      <c r="A2693" s="4"/>
      <c r="B2693" s="6"/>
      <c r="C2693" s="4"/>
      <c r="D2693" s="6"/>
      <c r="E2693" s="7"/>
      <c r="F2693" s="8"/>
      <c r="G2693" s="9"/>
      <c r="H2693" s="9"/>
      <c r="I2693" s="27"/>
      <c r="J2693" s="28"/>
      <c r="K2693" s="39"/>
      <c r="L2693" s="14"/>
    </row>
    <row r="2694" spans="1:12" s="2" customFormat="1" ht="12" customHeight="1">
      <c r="A2694" s="4"/>
      <c r="B2694" s="6"/>
      <c r="C2694" s="4"/>
      <c r="D2694" s="6"/>
      <c r="E2694" s="7"/>
      <c r="F2694" s="8"/>
      <c r="G2694" s="9"/>
      <c r="H2694" s="9"/>
      <c r="I2694" s="27"/>
      <c r="J2694" s="28"/>
      <c r="K2694" s="39"/>
      <c r="L2694" s="14"/>
    </row>
    <row r="2695" spans="1:12" ht="12" customHeight="1"/>
    <row r="2696" spans="1:12" ht="12" customHeight="1"/>
    <row r="2697" spans="1:12" ht="12" customHeight="1"/>
    <row r="2698" spans="1:12" ht="12" customHeight="1"/>
    <row r="2699" spans="1:12" customFormat="1" ht="12" customHeight="1">
      <c r="A2699" s="4"/>
      <c r="B2699" s="6"/>
      <c r="C2699" s="4"/>
      <c r="D2699" s="6"/>
      <c r="E2699" s="7"/>
      <c r="F2699" s="8"/>
      <c r="G2699" s="9"/>
      <c r="H2699" s="9"/>
      <c r="I2699" s="27"/>
      <c r="J2699" s="28"/>
      <c r="K2699" s="39"/>
      <c r="L2699" s="14"/>
    </row>
    <row r="2700" spans="1:12" customFormat="1" ht="12" customHeight="1">
      <c r="A2700" s="4"/>
      <c r="B2700" s="6"/>
      <c r="C2700" s="4"/>
      <c r="D2700" s="6"/>
      <c r="E2700" s="7"/>
      <c r="F2700" s="8"/>
      <c r="G2700" s="9"/>
      <c r="H2700" s="9"/>
      <c r="I2700" s="27"/>
      <c r="J2700" s="28"/>
      <c r="K2700" s="39"/>
      <c r="L2700" s="14"/>
    </row>
    <row r="2701" spans="1:12" customFormat="1" ht="12" customHeight="1">
      <c r="A2701" s="4"/>
      <c r="B2701" s="6"/>
      <c r="C2701" s="4"/>
      <c r="D2701" s="6"/>
      <c r="E2701" s="7"/>
      <c r="F2701" s="8"/>
      <c r="G2701" s="9"/>
      <c r="H2701" s="9"/>
      <c r="I2701" s="27"/>
      <c r="J2701" s="28"/>
      <c r="K2701" s="39"/>
      <c r="L2701" s="14"/>
    </row>
    <row r="2702" spans="1:12" ht="12" customHeight="1"/>
    <row r="2703" spans="1:12" ht="12" customHeight="1"/>
    <row r="2704" spans="1:12" ht="12" customHeight="1"/>
    <row r="2705" spans="1:29" ht="12" customHeight="1"/>
    <row r="2706" spans="1:29" ht="12" customHeight="1"/>
    <row r="2707" spans="1:29" ht="12" customHeight="1"/>
    <row r="2708" spans="1:29" ht="12" customHeight="1"/>
    <row r="2709" spans="1:29" s="2" customFormat="1" ht="12" customHeight="1">
      <c r="A2709" s="4"/>
      <c r="B2709" s="6"/>
      <c r="C2709" s="4"/>
      <c r="D2709" s="6"/>
      <c r="E2709" s="7"/>
      <c r="F2709" s="8"/>
      <c r="G2709" s="9"/>
      <c r="H2709" s="9"/>
      <c r="I2709" s="27"/>
      <c r="J2709" s="28"/>
      <c r="K2709" s="39"/>
      <c r="L2709" s="14"/>
    </row>
    <row r="2710" spans="1:29" ht="12" customHeight="1"/>
    <row r="2711" spans="1:29" ht="12" customHeight="1"/>
    <row r="2712" spans="1:29" ht="12" customHeight="1"/>
    <row r="2713" spans="1:29" ht="12" customHeight="1"/>
    <row r="2714" spans="1:29" ht="12" customHeight="1"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</row>
    <row r="2715" spans="1:29" ht="12" customHeight="1"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</row>
    <row r="2716" spans="1:29" ht="12" customHeight="1"/>
    <row r="2717" spans="1:29" ht="12" customHeight="1"/>
    <row r="2718" spans="1:29" ht="12" customHeight="1"/>
    <row r="2719" spans="1:29" ht="12" customHeight="1"/>
    <row r="2720" spans="1:29" s="2" customFormat="1" ht="12" customHeight="1">
      <c r="A2720" s="4"/>
      <c r="B2720" s="6"/>
      <c r="C2720" s="4"/>
      <c r="D2720" s="6"/>
      <c r="E2720" s="7"/>
      <c r="F2720" s="8"/>
      <c r="G2720" s="9"/>
      <c r="H2720" s="9"/>
      <c r="I2720" s="27"/>
      <c r="J2720" s="28"/>
      <c r="K2720" s="39"/>
      <c r="L2720" s="14"/>
    </row>
    <row r="2721" spans="1:29" s="2" customFormat="1" ht="12" customHeight="1">
      <c r="A2721" s="4"/>
      <c r="B2721" s="6"/>
      <c r="C2721" s="4"/>
      <c r="D2721" s="6"/>
      <c r="E2721" s="7"/>
      <c r="F2721" s="8"/>
      <c r="G2721" s="9"/>
      <c r="H2721" s="9"/>
      <c r="I2721" s="27"/>
      <c r="J2721" s="28"/>
      <c r="K2721" s="39"/>
      <c r="L2721" s="14"/>
    </row>
    <row r="2722" spans="1:29" s="2" customFormat="1" ht="12" customHeight="1">
      <c r="A2722" s="4"/>
      <c r="B2722" s="6"/>
      <c r="C2722" s="4"/>
      <c r="D2722" s="6"/>
      <c r="E2722" s="7"/>
      <c r="F2722" s="8"/>
      <c r="G2722" s="9"/>
      <c r="H2722" s="9"/>
      <c r="I2722" s="27"/>
      <c r="J2722" s="28"/>
      <c r="K2722" s="39"/>
      <c r="L2722" s="14"/>
    </row>
    <row r="2723" spans="1:29" ht="12" customHeight="1"/>
    <row r="2724" spans="1:29" ht="12" customHeight="1"/>
    <row r="2725" spans="1:29" ht="12.75" customHeight="1"/>
    <row r="2726" spans="1:29" ht="12" customHeight="1"/>
    <row r="2727" spans="1:29" ht="12" customHeight="1"/>
    <row r="2728" spans="1:29" ht="12" customHeight="1"/>
    <row r="2729" spans="1:29" ht="12" customHeight="1"/>
    <row r="2730" spans="1:29" ht="12" customHeight="1"/>
    <row r="2731" spans="1:29" s="5" customFormat="1" ht="12" customHeight="1">
      <c r="A2731" s="4"/>
      <c r="B2731" s="6"/>
      <c r="C2731" s="4"/>
      <c r="D2731" s="6"/>
      <c r="E2731" s="7"/>
      <c r="F2731" s="8"/>
      <c r="G2731" s="9"/>
      <c r="H2731" s="9"/>
      <c r="I2731" s="27"/>
      <c r="J2731" s="28"/>
      <c r="K2731" s="39"/>
      <c r="L2731" s="14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</row>
    <row r="2732" spans="1:29" s="5" customFormat="1" ht="12" customHeight="1">
      <c r="A2732" s="4"/>
      <c r="B2732" s="6"/>
      <c r="C2732" s="4"/>
      <c r="D2732" s="6"/>
      <c r="E2732" s="7"/>
      <c r="F2732" s="8"/>
      <c r="G2732" s="9"/>
      <c r="H2732" s="9"/>
      <c r="I2732" s="27"/>
      <c r="J2732" s="28"/>
      <c r="K2732" s="39"/>
      <c r="L2732" s="14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</row>
    <row r="2733" spans="1:29" s="5" customFormat="1" ht="12" customHeight="1">
      <c r="A2733" s="4"/>
      <c r="B2733" s="6"/>
      <c r="C2733" s="4"/>
      <c r="D2733" s="6"/>
      <c r="E2733" s="7"/>
      <c r="F2733" s="8"/>
      <c r="G2733" s="9"/>
      <c r="H2733" s="9"/>
      <c r="I2733" s="27"/>
      <c r="J2733" s="28"/>
      <c r="K2733" s="39"/>
      <c r="L2733" s="14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</row>
    <row r="2734" spans="1:29" s="5" customFormat="1" ht="12" customHeight="1">
      <c r="A2734" s="4"/>
      <c r="B2734" s="6"/>
      <c r="C2734" s="4"/>
      <c r="D2734" s="6"/>
      <c r="E2734" s="7"/>
      <c r="F2734" s="8"/>
      <c r="G2734" s="9"/>
      <c r="H2734" s="9"/>
      <c r="I2734" s="27"/>
      <c r="J2734" s="28"/>
      <c r="K2734" s="39"/>
      <c r="L2734" s="14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</row>
    <row r="2735" spans="1:29" ht="12" customHeight="1"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</row>
    <row r="2736" spans="1:29" ht="12" customHeight="1"/>
    <row r="2737" spans="1:29" ht="12" customHeight="1"/>
    <row r="2738" spans="1:29" ht="12" customHeight="1"/>
    <row r="2739" spans="1:29" ht="12" customHeight="1"/>
    <row r="2740" spans="1:29" ht="12" customHeight="1"/>
    <row r="2741" spans="1:29" ht="12" customHeight="1"/>
    <row r="2742" spans="1:29" ht="12" customHeight="1"/>
    <row r="2743" spans="1:29" ht="12" customHeight="1"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</row>
    <row r="2744" spans="1:29" ht="12" customHeight="1"/>
    <row r="2745" spans="1:29" ht="12" customHeight="1"/>
    <row r="2746" spans="1:29" ht="12" customHeight="1"/>
    <row r="2747" spans="1:29" ht="12" customHeight="1"/>
    <row r="2748" spans="1:29" s="5" customFormat="1" ht="11.25" customHeight="1">
      <c r="A2748" s="4"/>
      <c r="B2748" s="6"/>
      <c r="C2748" s="4"/>
      <c r="D2748" s="6"/>
      <c r="E2748" s="7"/>
      <c r="F2748" s="8"/>
      <c r="G2748" s="9"/>
      <c r="H2748" s="9"/>
      <c r="I2748" s="27"/>
      <c r="J2748" s="28"/>
      <c r="K2748" s="39"/>
      <c r="L2748" s="14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</row>
    <row r="2749" spans="1:29" s="5" customFormat="1" ht="11.25" customHeight="1">
      <c r="A2749" s="4"/>
      <c r="B2749" s="6"/>
      <c r="C2749" s="4"/>
      <c r="D2749" s="6"/>
      <c r="E2749" s="7"/>
      <c r="F2749" s="8"/>
      <c r="G2749" s="9"/>
      <c r="H2749" s="9"/>
      <c r="I2749" s="27"/>
      <c r="J2749" s="28"/>
      <c r="K2749" s="39"/>
      <c r="L2749" s="14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</row>
    <row r="2750" spans="1:29" s="5" customFormat="1" ht="11.25" customHeight="1">
      <c r="A2750" s="4"/>
      <c r="B2750" s="6"/>
      <c r="C2750" s="4"/>
      <c r="D2750" s="6"/>
      <c r="E2750" s="7"/>
      <c r="F2750" s="8"/>
      <c r="G2750" s="9"/>
      <c r="H2750" s="9"/>
      <c r="I2750" s="27"/>
      <c r="J2750" s="28"/>
      <c r="K2750" s="39"/>
      <c r="L2750" s="14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</row>
    <row r="2751" spans="1:29" s="5" customFormat="1" ht="11.25" customHeight="1">
      <c r="A2751" s="4"/>
      <c r="B2751" s="6"/>
      <c r="C2751" s="4"/>
      <c r="D2751" s="6"/>
      <c r="E2751" s="7"/>
      <c r="F2751" s="8"/>
      <c r="G2751" s="9"/>
      <c r="H2751" s="9"/>
      <c r="I2751" s="27"/>
      <c r="J2751" s="28"/>
      <c r="K2751" s="39"/>
      <c r="L2751" s="14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</row>
    <row r="2752" spans="1:29" s="5" customFormat="1" ht="11.25" customHeight="1">
      <c r="A2752" s="4"/>
      <c r="B2752" s="6"/>
      <c r="C2752" s="4"/>
      <c r="D2752" s="6"/>
      <c r="E2752" s="7"/>
      <c r="F2752" s="8"/>
      <c r="G2752" s="9"/>
      <c r="H2752" s="9"/>
      <c r="I2752" s="27"/>
      <c r="J2752" s="28"/>
      <c r="K2752" s="39"/>
      <c r="L2752" s="14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</row>
    <row r="2753" spans="1:29" s="5" customFormat="1" ht="11.25" customHeight="1">
      <c r="A2753" s="4"/>
      <c r="B2753" s="6"/>
      <c r="C2753" s="4"/>
      <c r="D2753" s="6"/>
      <c r="E2753" s="7"/>
      <c r="F2753" s="8"/>
      <c r="G2753" s="9"/>
      <c r="H2753" s="9"/>
      <c r="I2753" s="27"/>
      <c r="J2753" s="28"/>
      <c r="K2753" s="39"/>
      <c r="L2753" s="14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</row>
    <row r="2754" spans="1:29" s="5" customFormat="1" ht="11.25" customHeight="1">
      <c r="A2754" s="4"/>
      <c r="B2754" s="6"/>
      <c r="C2754" s="4"/>
      <c r="D2754" s="6"/>
      <c r="E2754" s="7"/>
      <c r="F2754" s="8"/>
      <c r="G2754" s="9"/>
      <c r="H2754" s="9"/>
      <c r="I2754" s="27"/>
      <c r="J2754" s="28"/>
      <c r="K2754" s="39"/>
      <c r="L2754" s="14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</row>
    <row r="2755" spans="1:29" s="5" customFormat="1" ht="11.25" customHeight="1">
      <c r="A2755" s="4"/>
      <c r="B2755" s="6"/>
      <c r="C2755" s="4"/>
      <c r="D2755" s="6"/>
      <c r="E2755" s="7"/>
      <c r="F2755" s="8"/>
      <c r="G2755" s="9"/>
      <c r="H2755" s="9"/>
      <c r="I2755" s="27"/>
      <c r="J2755" s="28"/>
      <c r="K2755" s="39"/>
      <c r="L2755" s="14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</row>
    <row r="2756" spans="1:29" s="5" customFormat="1" ht="11.25" customHeight="1">
      <c r="A2756" s="4"/>
      <c r="B2756" s="6"/>
      <c r="C2756" s="4"/>
      <c r="D2756" s="6"/>
      <c r="E2756" s="7"/>
      <c r="F2756" s="8"/>
      <c r="G2756" s="9"/>
      <c r="H2756" s="9"/>
      <c r="I2756" s="27"/>
      <c r="J2756" s="28"/>
      <c r="K2756" s="39"/>
      <c r="L2756" s="14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</row>
    <row r="2757" spans="1:29" s="5" customFormat="1" ht="11.25" customHeight="1">
      <c r="A2757" s="4"/>
      <c r="B2757" s="6"/>
      <c r="C2757" s="4"/>
      <c r="D2757" s="6"/>
      <c r="E2757" s="7"/>
      <c r="F2757" s="8"/>
      <c r="G2757" s="9"/>
      <c r="H2757" s="9"/>
      <c r="I2757" s="27"/>
      <c r="J2757" s="28"/>
      <c r="K2757" s="39"/>
      <c r="L2757" s="14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</row>
    <row r="2758" spans="1:29" ht="12" customHeight="1"/>
    <row r="2759" spans="1:29" ht="12" customHeight="1"/>
    <row r="2760" spans="1:29" ht="12" customHeight="1"/>
    <row r="2761" spans="1:29" ht="12" customHeight="1"/>
  </sheetData>
  <autoFilter ref="B5:K1268">
    <filterColumn colId="6" showButton="0"/>
  </autoFilter>
  <dataConsolidate/>
  <mergeCells count="3">
    <mergeCell ref="B1271:J1280"/>
    <mergeCell ref="B1282:J1284"/>
    <mergeCell ref="B3:K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КРУГ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2024-01-17T12:51:41Z</dcterms:modified>
</cp:coreProperties>
</file>